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8" activeTab="0"/>
  </bookViews>
  <sheets>
    <sheet name="Indtægtsopgørelse" sheetId="1" r:id="rId1"/>
    <sheet name="Bilag" sheetId="2" r:id="rId2"/>
  </sheets>
  <definedNames>
    <definedName name="_xlfn.IFERROR" hidden="1">#NAME?</definedName>
    <definedName name="_xlnm.Print_Area" localSheetId="1">'Bilag'!$A$1:$F$397</definedName>
    <definedName name="_xlnm.Print_Area" localSheetId="0">'Indtægtsopgørelse'!$A$1:$F$312</definedName>
  </definedNames>
  <calcPr fullCalcOnLoad="1"/>
</workbook>
</file>

<file path=xl/sharedStrings.xml><?xml version="1.0" encoding="utf-8"?>
<sst xmlns="http://schemas.openxmlformats.org/spreadsheetml/2006/main" count="489" uniqueCount="314">
  <si>
    <t>Filmtitel:</t>
  </si>
  <si>
    <t>Andet</t>
  </si>
  <si>
    <t>Merchandising</t>
  </si>
  <si>
    <t>Remake</t>
  </si>
  <si>
    <t>Sequel/Prequel</t>
  </si>
  <si>
    <t>Salg af lydspor</t>
  </si>
  <si>
    <t>Instruktør</t>
  </si>
  <si>
    <t>Forfatter</t>
  </si>
  <si>
    <t>FAF</t>
  </si>
  <si>
    <t>Dansk Skuespillerforbund</t>
  </si>
  <si>
    <t>Særlige royalties</t>
  </si>
  <si>
    <t>Eurimages</t>
  </si>
  <si>
    <t>Collecting agent</t>
  </si>
  <si>
    <t>Revision af indtægtsopgørelser</t>
  </si>
  <si>
    <t>FRADRAG I ALT</t>
  </si>
  <si>
    <t>Minimumsgarantier og presales, der indgår i filmens finansiering, modregnes i distributionsindtægterne.</t>
  </si>
  <si>
    <t>2. DISTRIBUTION OG SALG I DANMARK</t>
  </si>
  <si>
    <t>6. FRADRAG</t>
  </si>
  <si>
    <t>Biografdistribution</t>
  </si>
  <si>
    <t>Video on Demand</t>
  </si>
  <si>
    <t>I alt</t>
  </si>
  <si>
    <t>Pointafregning OS &amp; I/S Danske Filmproducenter</t>
  </si>
  <si>
    <t>Udenlandske fonde i øvrigt</t>
  </si>
  <si>
    <t>Producent</t>
  </si>
  <si>
    <t>Nordiske institutter</t>
  </si>
  <si>
    <t>TILBAGEBETALINGSPROCENT:</t>
  </si>
  <si>
    <r>
      <t>BEREGNING AF TILBAGEBETALING</t>
    </r>
    <r>
      <rPr>
        <sz val="10"/>
        <rFont val="Arial"/>
        <family val="2"/>
      </rPr>
      <t>:</t>
    </r>
  </si>
  <si>
    <t>Nordisk Film &amp; TV Fond</t>
  </si>
  <si>
    <t>Investering</t>
  </si>
  <si>
    <t>i 1. prioritet:</t>
  </si>
  <si>
    <t>Andre nationale institutter</t>
  </si>
  <si>
    <t>Øvrige statslige støtteordninger</t>
  </si>
  <si>
    <t>Øvrige fonde</t>
  </si>
  <si>
    <t>BILAG TIL OPGØRELSE AF INDTÆGTER</t>
  </si>
  <si>
    <t>Producent:</t>
  </si>
  <si>
    <t>Rettighedshaver:</t>
  </si>
  <si>
    <t>Distributør:</t>
  </si>
  <si>
    <t>FINANSIERING (hele filmens eller dansk andel af finansieringen)</t>
  </si>
  <si>
    <t>FINANSIERING (ved godkendelse af tilsagn):</t>
  </si>
  <si>
    <t>Lancering og markedsføring</t>
  </si>
  <si>
    <t>Direkte afholdte omkostninger</t>
  </si>
  <si>
    <t>Faktureret indtægt</t>
  </si>
  <si>
    <t>Direkte afholdte omkostninger (producent/salgsagent)</t>
  </si>
  <si>
    <t>Nordisk Film og TV Fond</t>
  </si>
  <si>
    <t>Faktureret filmleje</t>
  </si>
  <si>
    <t>Øvrige omkostninger</t>
  </si>
  <si>
    <t>1. PRODUKTIONSBESPARELSE / -OVERSKRIDELSE</t>
  </si>
  <si>
    <t>OPGØRELSE AF INDTÆGTER</t>
  </si>
  <si>
    <t xml:space="preserve">Indtægtsopgørelsen indeholder indtægter og udgifter samt kotumemæssige fradrag. </t>
  </si>
  <si>
    <t>Video-, DVD- og Blu-ray-distribution</t>
  </si>
  <si>
    <t>Grundlaget for indtægtsopgørelsen er filmens indtægter i alle lande i alle medier.</t>
  </si>
  <si>
    <t>Fradrag af godkendte royalties (kreative)</t>
  </si>
  <si>
    <t>Øvrige fradrag</t>
  </si>
  <si>
    <t xml:space="preserve">SEKUNDÆRE RETTIGHEDER I ALT </t>
  </si>
  <si>
    <t>5. SEKUNDÆRE RETTIGHEDER</t>
  </si>
  <si>
    <t xml:space="preserve">7. TILBAGEBETALING TIL FONDE </t>
  </si>
  <si>
    <t>Faktureret indtægt (fordelt på land):</t>
  </si>
  <si>
    <t>Biografindtægter (fordelt på land):</t>
  </si>
  <si>
    <t>Salgsindtægter video, DVD, Blu-ray (fordelt på land):</t>
  </si>
  <si>
    <t>Lejeindtægter video, DVD, Blu-ray (fordelt på land):</t>
  </si>
  <si>
    <t>Faktureret filmleje (fordelt på land):</t>
  </si>
  <si>
    <t>Norge</t>
  </si>
  <si>
    <t>Sverige</t>
  </si>
  <si>
    <t xml:space="preserve">Norge </t>
  </si>
  <si>
    <r>
      <t xml:space="preserve">I ALT </t>
    </r>
    <r>
      <rPr>
        <sz val="8"/>
        <rFont val="Arial"/>
        <family val="2"/>
      </rPr>
      <t>(overføres til side 3)</t>
    </r>
  </si>
  <si>
    <r>
      <t xml:space="preserve">I ALT </t>
    </r>
    <r>
      <rPr>
        <sz val="8"/>
        <rFont val="Arial"/>
        <family val="2"/>
      </rPr>
      <t>(overføres til side 4)</t>
    </r>
  </si>
  <si>
    <r>
      <t>Danske fonde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(f.eks. Film Fyn, Den vestdanske Filmpulje)</t>
    </r>
  </si>
  <si>
    <t xml:space="preserve">MODREGNING AF INDTÆGTER RELATERET TIL </t>
  </si>
  <si>
    <t>FILMENS SEKUNDÆRE RETTIGHEDER</t>
  </si>
  <si>
    <r>
      <t>1. PRIORITET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Producent, koproducent og MG Danmark/Norden 100%</t>
    </r>
    <r>
      <rPr>
        <sz val="10"/>
        <rFont val="Arial"/>
        <family val="2"/>
      </rPr>
      <t>)</t>
    </r>
  </si>
  <si>
    <r>
      <t>2. PRIORITET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Producent, koproducent og MG Danmark/Norden 75%</t>
    </r>
    <r>
      <rPr>
        <sz val="10"/>
        <rFont val="Arial"/>
        <family val="2"/>
      </rPr>
      <t>)</t>
    </r>
  </si>
  <si>
    <t>3. DISTRIBUTION OG SALG I NORDEN</t>
  </si>
  <si>
    <t>Island</t>
  </si>
  <si>
    <t>Finland</t>
  </si>
  <si>
    <t>Finansiering outright</t>
  </si>
  <si>
    <t>Skandinaviske fonde</t>
  </si>
  <si>
    <t>Er indtægterne mindre end minimumsgarantien registreres disse som 0.</t>
  </si>
  <si>
    <t>Verdenspremiere, dato:</t>
  </si>
  <si>
    <t>(Produktionsbesparelse indgår i indtægtsopgørelsen som en indtægt)</t>
  </si>
  <si>
    <t>Produktionsbesparelse</t>
  </si>
  <si>
    <t>Produktionsoverskridelse</t>
  </si>
  <si>
    <t xml:space="preserve">Distributionsvederlaget beregnes efter fradrag af omkostninger (COT).  </t>
  </si>
  <si>
    <t>Home Entertainment</t>
  </si>
  <si>
    <t>Video on Demand-distribution</t>
  </si>
  <si>
    <t>Indgår der ikke en MG i filmens finansiering, udgør distributionsvederlaget max 15%.</t>
  </si>
  <si>
    <t>Video-, DVD-, Blu-ray- og VOD-distribution</t>
  </si>
  <si>
    <t>Video on Demand (fordelt på land)</t>
  </si>
  <si>
    <t>Leje Video-, DVD-, Blu-ray-distribution</t>
  </si>
  <si>
    <t>Salg Video-, DVD-, Blu-ray-distribution</t>
  </si>
  <si>
    <t xml:space="preserve">modregnes i indtægtsopgørelsen (side 3). </t>
  </si>
  <si>
    <t>(Hvis indtægten alene består af presales, registreres denne som 0)</t>
  </si>
  <si>
    <t>Minimumsvederlag</t>
  </si>
  <si>
    <t>HOME ENTERTAINMENT I DANMARK</t>
  </si>
  <si>
    <t>HOME ENTERTAINMENT I NORDEN</t>
  </si>
  <si>
    <r>
      <t xml:space="preserve">I ALT </t>
    </r>
    <r>
      <rPr>
        <sz val="8"/>
        <rFont val="Arial"/>
        <family val="2"/>
      </rPr>
      <t>(før distributionsvederlag)</t>
    </r>
  </si>
  <si>
    <t>Afregnet minimumsvederlag</t>
  </si>
  <si>
    <t>Øvrigt distributionsvederlag</t>
  </si>
  <si>
    <t>BIOGRAFDISTRIBUTION I DANMARK</t>
  </si>
  <si>
    <t>BIOGRAFDISTRIBUTION I NORDEN</t>
  </si>
  <si>
    <t>(Indsæt land her)</t>
  </si>
  <si>
    <t>TOTAL INDTÆGT HOME ENTERTAINMENT ROW</t>
  </si>
  <si>
    <t>Omfattes af MG</t>
  </si>
  <si>
    <t>Omfattes ikke af MG</t>
  </si>
  <si>
    <t>Indtægter fra forsalg til TV i Norden, som indgår i filmens finansiering, registreres her som indtægt og</t>
  </si>
  <si>
    <t>MG, der indgår i filmens finansiering, fratrækkes de omhandlende "vinduer" samlet</t>
  </si>
  <si>
    <t>og nedskrives successivt.</t>
  </si>
  <si>
    <t>MINIMUMSGARANTI (MG), DER INDGÅR I FINANSIERINGEN</t>
  </si>
  <si>
    <t>(Minimumsvederlag er en forudbetaling af distributionsvederlaget på op til DKK 150.000.</t>
  </si>
  <si>
    <t>TOTAL OMKOSTNING</t>
  </si>
  <si>
    <t>TILBAGEBETALT MG DK BIO</t>
  </si>
  <si>
    <t>TILBAGEBETALT MG DK HOME</t>
  </si>
  <si>
    <t>SAMLET NETTOINDTÆGT I DANMARK</t>
  </si>
  <si>
    <t>TILBAGEBETALT MG NORDEN BIO</t>
  </si>
  <si>
    <t>MINIMUMSVEDERLAG, realiseret</t>
  </si>
  <si>
    <t>REST MG, INDEN FULDT MODREGNET</t>
  </si>
  <si>
    <t>SAMLET NETTOINDTÆGT I NORDEN</t>
  </si>
  <si>
    <t>Salgsagent max. 30%</t>
  </si>
  <si>
    <t>Crowdfunding</t>
  </si>
  <si>
    <t>TV-SALG I DANMARK OMFATTET AF MG</t>
  </si>
  <si>
    <t>TV-SALG I NORDEN OMFATTET AF MG</t>
  </si>
  <si>
    <t>I ALT DANMARK</t>
  </si>
  <si>
    <t>I ALT NORDEN</t>
  </si>
  <si>
    <t>MG ROW</t>
  </si>
  <si>
    <t>Alle vinduer samlet</t>
  </si>
  <si>
    <t>Indtægter fra alle vinduer (fordelt på land):</t>
  </si>
  <si>
    <t>Media-støtte</t>
  </si>
  <si>
    <r>
      <t>Andet</t>
    </r>
    <r>
      <rPr>
        <sz val="10"/>
        <color indexed="49"/>
        <rFont val="Arial"/>
        <family val="2"/>
      </rPr>
      <t>:</t>
    </r>
  </si>
  <si>
    <t>DANSK TV-SALG OG -FORSALG</t>
  </si>
  <si>
    <t>Hvis indtægten er mindre end 0 tæller den som 0</t>
  </si>
  <si>
    <t>BIOGRAFDISTRIBUTION I RESTEN AF VERDEN</t>
  </si>
  <si>
    <t>TV-salg og forsalg</t>
  </si>
  <si>
    <t>INDTÆGT I DANMARK FRATRUKKET TILBAGEBETALT MG</t>
  </si>
  <si>
    <t>Fradrag af forsalg, der indgår i finansieringen (DR/TV2)</t>
  </si>
  <si>
    <t>PRODUKTIONSBESPARELSE ELLER -OVERSKRIDELSE I ALT</t>
  </si>
  <si>
    <t>INDTÆGT I NORDEN FRATRUKKET TILBAGEBETALT MG</t>
  </si>
  <si>
    <t>Fradrag af forsalg i Norden, der indgår i finansieringen</t>
  </si>
  <si>
    <t>REALISERET INDTÆGT I RESTEN AF VERDEN, DER NEDSKRIVER MG</t>
  </si>
  <si>
    <t>HOME ENTERTAINMENT I RESTEN AF VERDEN</t>
  </si>
  <si>
    <t>SAMLET NETTOINDTÆGT I RESTEN AF VERDEN</t>
  </si>
  <si>
    <t>TV-SALG I RESTEN AF VERDEN OMFATTET AF MG</t>
  </si>
  <si>
    <t>INDTÆGT FRA RESTEN AF VERDEN FRATRUKKET TILBAGEBETALT MG</t>
  </si>
  <si>
    <t>I ALT RESTEN AF VERDEN (ROW)</t>
  </si>
  <si>
    <t>DISTRIBUTION OG SALG I ALT I DANMARK, NORDEN OG RESTEN AF VERDEN</t>
  </si>
  <si>
    <t>TV-forsalg (fordelt på land):</t>
  </si>
  <si>
    <t>Indtægter fra TV-salg i Norden beregnes som salgsprisen fratrukket dokumenterede salgsomkostninger.</t>
  </si>
  <si>
    <t>TV-salg (fordelt på land):</t>
  </si>
  <si>
    <t>Indtægter fra TV-salg fra udland/ROW beregnes som salgsprisen fratrukket dokumenterede salgsomkostninger.</t>
  </si>
  <si>
    <t>4. DISTRIBUTION OG SALG I RESTEN AF VERDEN (ROW)</t>
  </si>
  <si>
    <t>TV-salg</t>
  </si>
  <si>
    <t>TV-forsalg</t>
  </si>
  <si>
    <t>TV-SALG I DANMARK, DER IKKE OMFATTES AF MG</t>
  </si>
  <si>
    <t>Dokumenterede salgsomkostninger max. 30%</t>
  </si>
  <si>
    <t>I alt modregnet outright</t>
  </si>
  <si>
    <t>Øvrige udland regionale fonde</t>
  </si>
  <si>
    <t>Øvrige Norden regionale fonde</t>
  </si>
  <si>
    <t>Danmark regionale fonde</t>
  </si>
  <si>
    <t xml:space="preserve">Øvrige udland TV-forsalg </t>
  </si>
  <si>
    <t xml:space="preserve">Øvrige Norden TV-forsalg </t>
  </si>
  <si>
    <t xml:space="preserve">Øvrigt Dansk TV-forsalg </t>
  </si>
  <si>
    <t xml:space="preserve">Dokumenterede afholdte salgsomkostninger </t>
  </si>
  <si>
    <t>Dokumenterede afholdte salgsomkostninger</t>
  </si>
  <si>
    <t>INDTÆGT I NORDEN, DER NEDSKRIVER MG</t>
  </si>
  <si>
    <t>TV-SALG I NORDEN, DER IKKE OMFATTES AF MG</t>
  </si>
  <si>
    <t>TV-FORSALG I ROW</t>
  </si>
  <si>
    <t>Dokumenterede afholdte salgsomkostninger max. 30 %</t>
  </si>
  <si>
    <t>Fradrag af forsalg i resten af verden, der indgår i finansieringen</t>
  </si>
  <si>
    <t>TV-FORSALG I NORDEN</t>
  </si>
  <si>
    <t>TV-FORSALG I RESTEN AF VERDEN</t>
  </si>
  <si>
    <t>TV-SALG I RESTEN AF VERDEN, DER IKKE OMFATTES AF MG</t>
  </si>
  <si>
    <t>Distributionsvederlag / op til MG max. 30%:</t>
  </si>
  <si>
    <t>Distributionsvederlag / over MG max. 15%:</t>
  </si>
  <si>
    <t>Distributionsvederlag</t>
  </si>
  <si>
    <t>Vederlag til salgsagent</t>
  </si>
  <si>
    <t>Koproducent</t>
  </si>
  <si>
    <t>I alt før distributionsvederlag</t>
  </si>
  <si>
    <t xml:space="preserve">ALLE VINDUER I RESTEN AF VERDEN, DER IKKE OMFATTES AF MG </t>
  </si>
  <si>
    <t>BIOGRAFDISTRIBUTION I RESTEN AF VERDEN, DER IKKE OMFATTES AF MG</t>
  </si>
  <si>
    <t>HOME ENTERTAINMENT I RESTEN AF VERDEN, DER IKKE OMFATTES AF MG</t>
  </si>
  <si>
    <t>Distributionsvederlag ændres fra 30% til 15% ved:</t>
  </si>
  <si>
    <t>Samlet</t>
  </si>
  <si>
    <t xml:space="preserve">Minimumsvederlag er en forudbetaling af distributionsvederlaget på op til DKK 150.000. </t>
  </si>
  <si>
    <t>Minimumsvederlaget modregnes i distributionsvederlaget, når dette overstiger DKK 150.000.</t>
  </si>
  <si>
    <t>Indtægter fra biografdistribution i Danmark beregnes som de fakturerede filmlejeindtægter fratrukket dokumenterede omkostninger</t>
  </si>
  <si>
    <t>til distribution og lancering.</t>
  </si>
  <si>
    <t>Når der indgår en MG i filmens finansiering, og indtil den er fuldt ud inddækket af indtægter, udgør distributionsvederlaget max 30%.</t>
  </si>
  <si>
    <t>Herefter udgør distributionsvederlaget max. 15% for biograf- og home entertainment omfattet af MG'en.</t>
  </si>
  <si>
    <t>Lejeindtægter Video/DVD, Blu-ray-distribution:</t>
  </si>
  <si>
    <t>Faktureret lejeindtægt</t>
  </si>
  <si>
    <t xml:space="preserve">Faktureret salgsindtægt </t>
  </si>
  <si>
    <t>Salgsindtægter Video/DVD/Blu-Ray:</t>
  </si>
  <si>
    <t>Øvrigt salg til TV-visning i Danmark beregnes som salgsprisen fratrukket dokumenterede direkte afholdte omkostninger.</t>
  </si>
  <si>
    <t>Indtægter fra biografdistribution i Norden beregnes som de fakturerede filmlejeindtægter fratrukket dokumenterede omkostninger til</t>
  </si>
  <si>
    <t xml:space="preserve">Indtægter fra udlejning og salg af videokassetter, DVD og Blu-ray i Norden beregnes som de fakturerede leje- og salgsindtægter </t>
  </si>
  <si>
    <t>fratrukket dokumenterede omkostninger til lancering, distributionsvederlag og direkte omkostninger (COT).</t>
  </si>
  <si>
    <t>Når der indgår en MG i filmens finansiering, og indtil den er fuldt ud inddækket af indtægter, udgør distributionsvederlaget max. 30%.</t>
  </si>
  <si>
    <t>Indgår der ikke en MG i filmens finansiering, udgør distributionsvederlaget max. 15%.</t>
  </si>
  <si>
    <t>distributionsvederlag og direkte omkostninger (COT).</t>
  </si>
  <si>
    <t xml:space="preserve">Indtægter fra VOD i Norden beregnes som de fakturerede indtægter fratrukket dokumenterede omkostninger til lancering, </t>
  </si>
  <si>
    <t xml:space="preserve">Når der indgår en MG i filmens finansiering, og indtil den er fuldt ud inddækket af indtægter, udgør distributionsvederlaget max. 30%. </t>
  </si>
  <si>
    <t xml:space="preserve">I alt salg </t>
  </si>
  <si>
    <t>I alt leje</t>
  </si>
  <si>
    <t>I alt DVD</t>
  </si>
  <si>
    <t>I alt VOD</t>
  </si>
  <si>
    <r>
      <t xml:space="preserve">I ALT biografdistribution </t>
    </r>
    <r>
      <rPr>
        <sz val="8"/>
        <rFont val="Arial"/>
        <family val="2"/>
      </rPr>
      <t>(overføres til side 3)</t>
    </r>
  </si>
  <si>
    <r>
      <rPr>
        <b/>
        <sz val="14"/>
        <rFont val="Arial"/>
        <family val="2"/>
      </rPr>
      <t>INDTÆGTER TIL FORDELING I ALT</t>
    </r>
    <r>
      <rPr>
        <sz val="8"/>
        <rFont val="Arial"/>
        <family val="2"/>
      </rPr>
      <t xml:space="preserve"> (overføres til side 1)</t>
    </r>
  </si>
  <si>
    <t>(overføres til side 2)</t>
  </si>
  <si>
    <r>
      <t xml:space="preserve">I ALT biografdistribution </t>
    </r>
    <r>
      <rPr>
        <sz val="8"/>
        <rFont val="Arial"/>
        <family val="2"/>
      </rPr>
      <t>(overføres til side 2)</t>
    </r>
  </si>
  <si>
    <r>
      <t xml:space="preserve">I ALT Home Entertainment </t>
    </r>
    <r>
      <rPr>
        <sz val="8"/>
        <rFont val="Arial"/>
        <family val="2"/>
      </rPr>
      <t>(overføres til side 2)</t>
    </r>
  </si>
  <si>
    <r>
      <t>I ALT TV-salg og -forsalg</t>
    </r>
    <r>
      <rPr>
        <sz val="8"/>
        <rFont val="Arial"/>
        <family val="2"/>
      </rPr>
      <t xml:space="preserve"> (overføres til side 2) </t>
    </r>
  </si>
  <si>
    <r>
      <t xml:space="preserve">I ALT Home Entertainment </t>
    </r>
    <r>
      <rPr>
        <sz val="8"/>
        <rFont val="Arial"/>
        <family val="2"/>
      </rPr>
      <t>(overføres til side 3)</t>
    </r>
  </si>
  <si>
    <r>
      <t xml:space="preserve">I ALT TV-salg </t>
    </r>
    <r>
      <rPr>
        <sz val="8"/>
        <rFont val="Arial"/>
        <family val="2"/>
      </rPr>
      <t>(overføres til side 3)</t>
    </r>
  </si>
  <si>
    <r>
      <t>I ALT TV-forsalg</t>
    </r>
    <r>
      <rPr>
        <sz val="8"/>
        <rFont val="Arial"/>
        <family val="2"/>
      </rPr>
      <t xml:space="preserve"> (overføres til side 3)</t>
    </r>
  </si>
  <si>
    <t>Herudover kan der fratrækkes dokumenteret vederlag til salgsagent højst 30% før fradrag af omkostninger til salg og distribution (COP).</t>
  </si>
  <si>
    <r>
      <t xml:space="preserve">I ALT  </t>
    </r>
    <r>
      <rPr>
        <sz val="8"/>
        <rFont val="Arial"/>
        <family val="2"/>
      </rPr>
      <t>(overføres til side 3)</t>
    </r>
  </si>
  <si>
    <r>
      <t>I ALT</t>
    </r>
    <r>
      <rPr>
        <sz val="8"/>
        <rFont val="Arial"/>
        <family val="2"/>
      </rPr>
      <t xml:space="preserve"> (overføres til side 3)</t>
    </r>
  </si>
  <si>
    <r>
      <t>I ALT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(overføres til side 4)</t>
    </r>
  </si>
  <si>
    <t>Producer:</t>
  </si>
  <si>
    <r>
      <t>INDTÆGTER TIL FORDELING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(overført fra side 4)</t>
    </r>
    <r>
      <rPr>
        <sz val="12"/>
        <rFont val="Arial"/>
        <family val="2"/>
      </rPr>
      <t>:</t>
    </r>
  </si>
  <si>
    <r>
      <t xml:space="preserve">PRODUKTIONSBESPARELSE </t>
    </r>
    <r>
      <rPr>
        <sz val="8"/>
        <rFont val="Arial"/>
        <family val="2"/>
      </rPr>
      <t>(overført fra bilag side 5)</t>
    </r>
  </si>
  <si>
    <r>
      <t xml:space="preserve">PRODUKTIONSOVERSKRIDELSE </t>
    </r>
    <r>
      <rPr>
        <sz val="8"/>
        <rFont val="Arial"/>
        <family val="2"/>
      </rPr>
      <t>(overført fra bilag side 5)</t>
    </r>
  </si>
  <si>
    <r>
      <t>Nettoindtægt</t>
    </r>
    <r>
      <rPr>
        <sz val="8"/>
        <rFont val="Arial"/>
        <family val="2"/>
      </rPr>
      <t xml:space="preserve"> (overført fra bilag side 5)</t>
    </r>
  </si>
  <si>
    <r>
      <t xml:space="preserve">Nettoindtægt </t>
    </r>
    <r>
      <rPr>
        <sz val="8"/>
        <rFont val="Arial"/>
        <family val="2"/>
      </rPr>
      <t>(overført fra bilag side 6)</t>
    </r>
  </si>
  <si>
    <r>
      <t xml:space="preserve">Dansk TV-salg og forsalg </t>
    </r>
    <r>
      <rPr>
        <sz val="9.5"/>
        <rFont val="Arial"/>
        <family val="2"/>
      </rPr>
      <t>(f.eks. DR/TV2)</t>
    </r>
    <r>
      <rPr>
        <sz val="10"/>
        <rFont val="Arial"/>
        <family val="2"/>
      </rPr>
      <t xml:space="preserve"> </t>
    </r>
  </si>
  <si>
    <t>(overført fra bilag side 6)</t>
  </si>
  <si>
    <r>
      <t>Nettoindtægt</t>
    </r>
    <r>
      <rPr>
        <sz val="8"/>
        <rFont val="Arial"/>
        <family val="2"/>
      </rPr>
      <t xml:space="preserve"> (overført fra bilag side 7)</t>
    </r>
  </si>
  <si>
    <r>
      <t xml:space="preserve">Nettoindtægt </t>
    </r>
    <r>
      <rPr>
        <sz val="8"/>
        <rFont val="Arial"/>
        <family val="2"/>
      </rPr>
      <t>(overført fra bilag side 8)</t>
    </r>
  </si>
  <si>
    <t xml:space="preserve">Forsalg i Norden, der indgår i finansieringen </t>
  </si>
  <si>
    <t>(overført fra bilag side 8)</t>
  </si>
  <si>
    <r>
      <t xml:space="preserve">Nettoindtægt </t>
    </r>
    <r>
      <rPr>
        <sz val="8"/>
        <rFont val="Arial"/>
        <family val="2"/>
      </rPr>
      <t>(overført fra bilag side 9)</t>
    </r>
  </si>
  <si>
    <r>
      <t>Nettoindtægter</t>
    </r>
    <r>
      <rPr>
        <sz val="8"/>
        <rFont val="Arial"/>
        <family val="2"/>
      </rPr>
      <t xml:space="preserve"> (overført fra bilag side 10)</t>
    </r>
  </si>
  <si>
    <t>ALLE VINDUER I RESTEN AF V. OMFATTET AF MG</t>
  </si>
  <si>
    <t>Forsalg i resten af verden, der indgår i finansieringen</t>
  </si>
  <si>
    <t>(overført fra bilag side 10)</t>
  </si>
  <si>
    <r>
      <rPr>
        <b/>
        <sz val="10"/>
        <rFont val="Arial"/>
        <family val="2"/>
      </rPr>
      <t>SEKUNDÆRE RETTIGHEDER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(overført fra bilag side 11)</t>
    </r>
  </si>
  <si>
    <r>
      <t xml:space="preserve">FRADRAG GODKENDTE ROYALTIES (kreative) </t>
    </r>
    <r>
      <rPr>
        <sz val="8"/>
        <rFont val="Arial"/>
        <family val="2"/>
      </rPr>
      <t>(overført fra bilag side 11)</t>
    </r>
  </si>
  <si>
    <r>
      <t>ØVRIGE FRADRAG</t>
    </r>
    <r>
      <rPr>
        <sz val="8"/>
        <rFont val="Arial"/>
        <family val="2"/>
      </rPr>
      <t xml:space="preserve"> (overført fra bilag side 11)</t>
    </r>
  </si>
  <si>
    <r>
      <t>TILBAGEBETALT TIL FONDE I ALT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(overført fra bilag side 11)</t>
    </r>
  </si>
  <si>
    <t>Øvrig dansk TV-salg</t>
  </si>
  <si>
    <t>/andre indtægter</t>
  </si>
  <si>
    <t>Dansk premiere, dato:</t>
  </si>
  <si>
    <t>Det første "distributions-vindue": biograf, Home Entertainment mm</t>
  </si>
  <si>
    <t>Opgjort pr.</t>
  </si>
  <si>
    <t>MG, der indgår i filmens finansiering, fratrækkes de omhandlende "vinduer" samlet og</t>
  </si>
  <si>
    <t>nedskrives successivt.</t>
  </si>
  <si>
    <t xml:space="preserve">Alle sekundære nettoindtægter, eksempelvis i form af salg af sekundære rettigheder knyttet til filmen medregnes i </t>
  </si>
  <si>
    <t>opgørelsen af filmens indtægter, men modregnes igen, inden beregning af tilbagebetaling.</t>
  </si>
  <si>
    <t>Besparelser på produktionsbudgettet (inkl. besparelser på usikkerhedsmargin) indtægtsføres, mens godkendte budgetoverskridelser</t>
  </si>
  <si>
    <t>tilsvarende udgiftsføres.</t>
  </si>
  <si>
    <t>Distributionsomkostninger</t>
  </si>
  <si>
    <t>distribution og lancering.</t>
  </si>
  <si>
    <t xml:space="preserve">Indtægter fra Home Entertainment i Danmark beregnes som de fakturerede indtægter fratrukket dokumenterede omkostninger til </t>
  </si>
  <si>
    <t xml:space="preserve">Når der indgår en MG i filmens finansiering og indtil den er fuldt ud inddækket af indtægter, udgør distributionsvederlaget </t>
  </si>
  <si>
    <t>max 30%. Herefter udgør distributionsvederlaget max. 15% for biograf- og home entertainment omfattet af MG'en.</t>
  </si>
  <si>
    <t>Indtægter fra forsalg til TV i Danmark, som indgår i filmens finansiering, registreres her som indtægt og modregnes i indtægts-</t>
  </si>
  <si>
    <t xml:space="preserve">opgørelsen (side 2). </t>
  </si>
  <si>
    <t>Ved aftaler om salg af rettigheder til udenlandsk distribution og salg kan den danske producent fratrække dokumenterede direkte</t>
  </si>
  <si>
    <t xml:space="preserve">afholdte omkostninger til salg og distribution. </t>
  </si>
  <si>
    <t>Udfyld de enkelte "vinduer" særskilt eller alle "vinduer" samlet.</t>
  </si>
  <si>
    <t>Indtægter fra forsalg til TV i udland/ROW som indgår i filmens finansiering, registreres her som indtægt og modregnes i</t>
  </si>
  <si>
    <t xml:space="preserve">indtægtsopgørelsen (side 3). </t>
  </si>
  <si>
    <t>Alle øvrige nettoindtægter bl.a. salg af sekundære rettigheder knyttet til filmen, herunder remake, sequel, prequel, salg af lydspor</t>
  </si>
  <si>
    <t>og rekvisitter fra filmen, merchandising samt producentens andel af indtægter fra OS eller  I/S Danske Filmproducenters</t>
  </si>
  <si>
    <t>pointafregning indregnes her fuldt ud i filmens indtægter men modregnes igen i indtægtsopgørelsen (side 4).</t>
  </si>
  <si>
    <t>Filminstituttet accepterer normalt, at bidrag fra fonde tilbagebetales i overensstemmelse med fondens statutter. Alle aftaler med</t>
  </si>
  <si>
    <t>fonde skal dog godkendes af Filminstituttet.</t>
  </si>
  <si>
    <t xml:space="preserve">Lancerings- og distributionsstøtte fra Filminstituttet skal - ligesom andre indtægter - indgå som indtægt i opgørelsen. </t>
  </si>
  <si>
    <t>Lanceringsstøtte/andet</t>
  </si>
  <si>
    <t>Lancerings- og distributionsstøtte fra Filminstituttet skal - ligesom andre indtægter - indgå som indtægt i opgørelsen.</t>
  </si>
  <si>
    <t>distributionsvederlag og producentens andel af de af Filminstituttet godkendte omkostninger til kopier, trailere og markedsføring (COT).</t>
  </si>
  <si>
    <t>Normalt respekterer Filminstituttet kotymemæssige aftaler om royalties. Alle aftaler om royalties skal i forbindelse med produktions-</t>
  </si>
  <si>
    <t>ansøgning godkendes af Filminstituttet.</t>
  </si>
  <si>
    <t>Indtægtsopgørelse nr.</t>
  </si>
  <si>
    <t>Filmens indtægter og udgifter opgøres dels med henblik på tilbagebetaling af støtte og dels til statistiske formål.</t>
  </si>
  <si>
    <t>Indtægtsopgørelsen skal være attesteret af en registreret eller en statsautoriseret revisor eller af et af Det Danske Filminstitut</t>
  </si>
  <si>
    <t>(Filminstituttet) til formålet godkendt Collecting Agency.</t>
  </si>
  <si>
    <t xml:space="preserve">Når finansieringen af filmen indeholder minimumsgaranti for Danmark/Norden, kan distributøren forlods efter modregning af </t>
  </si>
  <si>
    <t>omkostninger beholde et minimumsvederlag på DKK 150.000, som efterfølgende nedskriver distributionsvederlaget</t>
  </si>
  <si>
    <t>tilsvarende.</t>
  </si>
  <si>
    <t>Filminstituttet</t>
  </si>
  <si>
    <t>SUM AF INDTÆGTER FØR AFREGNING TIL FILMINSTITUTTET</t>
  </si>
  <si>
    <t>FILMINSTITUT-ANDEL AF INDTÆGTER (=STØTTEPROCENTEN)</t>
  </si>
  <si>
    <t>TIDLIGERE AFREGNET TIL FILMINSTITUTTET</t>
  </si>
  <si>
    <t>TIL AFREGNING TIL FILMINSTITUTTET</t>
  </si>
  <si>
    <t>DR forsalg</t>
  </si>
  <si>
    <t>TV2 forsalg</t>
  </si>
  <si>
    <t>TV-forsalg i alt (i finansieringen)</t>
  </si>
  <si>
    <t>TV-forsalg, TV2 (i finansieringen)</t>
  </si>
  <si>
    <t>TV-forsalg, DR (i finansieringen)</t>
  </si>
  <si>
    <t>Øvrig dansk TV-forsalg (i finansieringen)</t>
  </si>
  <si>
    <t>(Støttevilkår gældende pr. 15/08-2020)</t>
  </si>
  <si>
    <t>1. + 2. PRIORITET I ALT</t>
  </si>
  <si>
    <t xml:space="preserve">OP TIL 1 MIO. </t>
  </si>
  <si>
    <t>(Hvis 1.+2. prioritet er under 1. mio, må filmen have en indtægt på 1. mio før afregning til Filminstituttet)</t>
  </si>
  <si>
    <t>I ALT</t>
  </si>
  <si>
    <t>SKEMA TIL INDTÆGTSOPGØRELSE FOR SPILLEFILM</t>
  </si>
  <si>
    <t>UD OVER 1 MIO.</t>
  </si>
  <si>
    <t>SAMLET SUM AF INDTÆGTER FØR AFREGNING TIL FILMINSTITUTTET</t>
  </si>
  <si>
    <t>GRUNDLAG FOR AFREGNING TIL FILMINSTITUTTET</t>
  </si>
  <si>
    <t>(Produktionsoverskridelse indgår i indtægtsopgørelsen som en udgift)</t>
  </si>
  <si>
    <t>Minimumsvederlaget kan fratrækkes forlods af indtægterne efter modregning af omkostninger)</t>
  </si>
  <si>
    <t xml:space="preserve">Minimumsvederlaget og distributionsvederlaget beregnes efter fradrag af omkostninger (COT).  </t>
  </si>
  <si>
    <t>Creative Media udvikling</t>
  </si>
  <si>
    <t>[nummer]</t>
  </si>
  <si>
    <t>[dato]</t>
  </si>
  <si>
    <t>MG Danmark (Bio)</t>
  </si>
  <si>
    <t>MG Danmark (HE)</t>
  </si>
  <si>
    <t>MG Danmark (Bio &amp; HE)</t>
  </si>
  <si>
    <t>MG Danmark &amp; Norden (Bio &amp; HE)</t>
  </si>
  <si>
    <t>MINIMUMSGARANTI (MG), DER INDGÅR I FINANSIERINGEN BIO</t>
  </si>
  <si>
    <r>
      <t xml:space="preserve">INDTÆGT </t>
    </r>
    <r>
      <rPr>
        <b/>
        <u val="single"/>
        <sz val="10"/>
        <rFont val="Arial"/>
        <family val="2"/>
      </rPr>
      <t>BIO</t>
    </r>
    <r>
      <rPr>
        <b/>
        <sz val="10"/>
        <rFont val="Arial"/>
        <family val="2"/>
      </rPr>
      <t xml:space="preserve"> I DK, DER NEDSKRIVER MG</t>
    </r>
  </si>
  <si>
    <t>Nettoindtægt fratrukket MG</t>
  </si>
  <si>
    <r>
      <t xml:space="preserve">MINIMUMSGARANTI (MG), DER INDGÅR I FINANSIERINGEN </t>
    </r>
    <r>
      <rPr>
        <b/>
        <u val="single"/>
        <sz val="10"/>
        <rFont val="Arial"/>
        <family val="2"/>
      </rPr>
      <t>HE &amp; TV</t>
    </r>
  </si>
  <si>
    <r>
      <t xml:space="preserve">INDTÆGT </t>
    </r>
    <r>
      <rPr>
        <b/>
        <u val="single"/>
        <sz val="10"/>
        <rFont val="Arial"/>
        <family val="2"/>
      </rPr>
      <t>HE &amp; TV</t>
    </r>
    <r>
      <rPr>
        <b/>
        <sz val="10"/>
        <rFont val="Arial"/>
        <family val="2"/>
      </rPr>
      <t xml:space="preserve"> I DK, DER NEDSKRIVER MG</t>
    </r>
  </si>
  <si>
    <r>
      <t xml:space="preserve">MINIMUMSGARANTI (MG), DER INDGÅR I FINANSIERINGEN </t>
    </r>
    <r>
      <rPr>
        <b/>
        <u val="single"/>
        <sz val="10"/>
        <rFont val="Arial"/>
        <family val="2"/>
      </rPr>
      <t>NORDEN</t>
    </r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</si>
</sst>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[$€-2]\ #.##000_);[Red]\([$€-2]\ #.##000\)"/>
    <numFmt numFmtId="200" formatCode="[$-406]d\.\ mmmm\ yyyy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#,##0.00;[Red]#,##0.00"/>
    <numFmt numFmtId="205" formatCode="#,##0.0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"/>
    <numFmt numFmtId="214" formatCode="_(* #,##0.0000_);_(* \(#,##0.0000\);_(* &quot;-&quot;??_);_(@_)"/>
    <numFmt numFmtId="215" formatCode="0.000"/>
  </numFmts>
  <fonts count="8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10"/>
      <name val="Verdana"/>
      <family val="2"/>
    </font>
    <font>
      <sz val="10"/>
      <color indexed="49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62"/>
      <name val="Arial"/>
      <family val="2"/>
    </font>
    <font>
      <sz val="10"/>
      <color indexed="21"/>
      <name val="Arial"/>
      <family val="2"/>
    </font>
    <font>
      <i/>
      <sz val="11"/>
      <color indexed="30"/>
      <name val="Arial"/>
      <family val="2"/>
    </font>
    <font>
      <sz val="10"/>
      <color indexed="1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theme="3" tint="-0.24997000396251678"/>
      <name val="Arial"/>
      <family val="2"/>
    </font>
    <font>
      <sz val="10"/>
      <color theme="3" tint="0.39998000860214233"/>
      <name val="Arial"/>
      <family val="2"/>
    </font>
    <font>
      <sz val="10"/>
      <color rgb="FF00B050"/>
      <name val="Arial"/>
      <family val="2"/>
    </font>
    <font>
      <i/>
      <sz val="11"/>
      <color rgb="FF0070C0"/>
      <name val="Arial"/>
      <family val="2"/>
    </font>
    <font>
      <sz val="10"/>
      <color theme="5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0" borderId="3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8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9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0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0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hidden="1"/>
    </xf>
    <xf numFmtId="3" fontId="0" fillId="0" borderId="10" xfId="0" applyNumberForma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3" fontId="70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71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3" fontId="72" fillId="0" borderId="0" xfId="0" applyNumberFormat="1" applyFont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9" fillId="33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6" fillId="33" borderId="11" xfId="0" applyFont="1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0" fontId="52" fillId="0" borderId="0" xfId="33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74" fillId="0" borderId="0" xfId="0" applyFont="1" applyFill="1" applyAlignment="1" applyProtection="1">
      <alignment horizontal="left"/>
      <protection hidden="1"/>
    </xf>
    <xf numFmtId="3" fontId="0" fillId="34" borderId="13" xfId="0" applyNumberFormat="1" applyFill="1" applyBorder="1" applyAlignment="1" applyProtection="1">
      <alignment/>
      <protection hidden="1" locked="0"/>
    </xf>
    <xf numFmtId="3" fontId="0" fillId="35" borderId="13" xfId="0" applyNumberFormat="1" applyFont="1" applyFill="1" applyBorder="1" applyAlignment="1" applyProtection="1">
      <alignment/>
      <protection hidden="1"/>
    </xf>
    <xf numFmtId="3" fontId="0" fillId="35" borderId="13" xfId="0" applyNumberFormat="1" applyFill="1" applyBorder="1" applyAlignment="1" applyProtection="1">
      <alignment/>
      <protection hidden="1"/>
    </xf>
    <xf numFmtId="3" fontId="0" fillId="0" borderId="13" xfId="0" applyNumberFormat="1" applyFill="1" applyBorder="1" applyAlignment="1" applyProtection="1">
      <alignment/>
      <protection hidden="1" locked="0"/>
    </xf>
    <xf numFmtId="3" fontId="2" fillId="35" borderId="14" xfId="0" applyNumberFormat="1" applyFont="1" applyFill="1" applyBorder="1" applyAlignment="1" applyProtection="1">
      <alignment/>
      <protection hidden="1"/>
    </xf>
    <xf numFmtId="3" fontId="69" fillId="35" borderId="13" xfId="0" applyNumberFormat="1" applyFont="1" applyFill="1" applyBorder="1" applyAlignment="1" applyProtection="1">
      <alignment/>
      <protection hidden="1"/>
    </xf>
    <xf numFmtId="3" fontId="0" fillId="34" borderId="13" xfId="0" applyNumberFormat="1" applyFont="1" applyFill="1" applyBorder="1" applyAlignment="1" applyProtection="1">
      <alignment/>
      <protection hidden="1" locked="0"/>
    </xf>
    <xf numFmtId="203" fontId="0" fillId="35" borderId="13" xfId="46" applyNumberFormat="1" applyFont="1" applyFill="1" applyBorder="1" applyAlignment="1" applyProtection="1">
      <alignment/>
      <protection hidden="1" locked="0"/>
    </xf>
    <xf numFmtId="3" fontId="69" fillId="34" borderId="13" xfId="0" applyNumberFormat="1" applyFont="1" applyFill="1" applyBorder="1" applyAlignment="1" applyProtection="1">
      <alignment/>
      <protection hidden="1" locked="0"/>
    </xf>
    <xf numFmtId="3" fontId="0" fillId="34" borderId="0" xfId="0" applyNumberForma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3" fontId="0" fillId="35" borderId="13" xfId="0" applyNumberFormat="1" applyFill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3" fontId="0" fillId="34" borderId="13" xfId="0" applyNumberFormat="1" applyFont="1" applyFill="1" applyBorder="1" applyAlignment="1" applyProtection="1">
      <alignment/>
      <protection hidden="1"/>
    </xf>
    <xf numFmtId="203" fontId="0" fillId="0" borderId="0" xfId="0" applyNumberFormat="1" applyAlignment="1">
      <alignment/>
    </xf>
    <xf numFmtId="0" fontId="0" fillId="0" borderId="15" xfId="0" applyBorder="1" applyAlignment="1">
      <alignment/>
    </xf>
    <xf numFmtId="0" fontId="72" fillId="0" borderId="0" xfId="0" applyFont="1" applyAlignment="1" applyProtection="1">
      <alignment horizontal="right"/>
      <protection hidden="1"/>
    </xf>
    <xf numFmtId="0" fontId="13" fillId="0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 locked="0"/>
    </xf>
    <xf numFmtId="0" fontId="1" fillId="36" borderId="0" xfId="0" applyFont="1" applyFill="1" applyAlignment="1" applyProtection="1">
      <alignment horizontal="right"/>
      <protection hidden="1"/>
    </xf>
    <xf numFmtId="0" fontId="8" fillId="36" borderId="0" xfId="0" applyFont="1" applyFill="1" applyAlignment="1" applyProtection="1">
      <alignment horizontal="right"/>
      <protection hidden="1" locked="0"/>
    </xf>
    <xf numFmtId="0" fontId="8" fillId="36" borderId="0" xfId="0" applyFont="1" applyFill="1" applyAlignment="1" applyProtection="1">
      <alignment horizontal="right"/>
      <protection hidden="1"/>
    </xf>
    <xf numFmtId="0" fontId="0" fillId="37" borderId="0" xfId="0" applyFill="1" applyAlignment="1" applyProtection="1">
      <alignment/>
      <protection hidden="1"/>
    </xf>
    <xf numFmtId="0" fontId="8" fillId="14" borderId="0" xfId="0" applyFont="1" applyFill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8" fillId="11" borderId="0" xfId="0" applyFont="1" applyFill="1" applyAlignment="1" applyProtection="1">
      <alignment/>
      <protection hidden="1"/>
    </xf>
    <xf numFmtId="0" fontId="8" fillId="18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1" fillId="11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14" borderId="0" xfId="0" applyFont="1" applyFill="1" applyAlignment="1" applyProtection="1">
      <alignment/>
      <protection hidden="1"/>
    </xf>
    <xf numFmtId="0" fontId="1" fillId="18" borderId="0" xfId="0" applyFont="1" applyFill="1" applyAlignment="1" applyProtection="1">
      <alignment/>
      <protection hidden="1"/>
    </xf>
    <xf numFmtId="0" fontId="0" fillId="18" borderId="0" xfId="0" applyFill="1" applyAlignment="1" applyProtection="1">
      <alignment/>
      <protection hidden="1"/>
    </xf>
    <xf numFmtId="0" fontId="1" fillId="13" borderId="0" xfId="0" applyFont="1" applyFill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1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38" borderId="0" xfId="0" applyFont="1" applyFill="1" applyAlignment="1" applyProtection="1">
      <alignment/>
      <protection hidden="1"/>
    </xf>
    <xf numFmtId="0" fontId="8" fillId="13" borderId="0" xfId="0" applyFont="1" applyFill="1" applyAlignment="1" applyProtection="1">
      <alignment/>
      <protection hidden="1"/>
    </xf>
    <xf numFmtId="3" fontId="10" fillId="35" borderId="14" xfId="0" applyNumberFormat="1" applyFont="1" applyFill="1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1" fillId="16" borderId="0" xfId="0" applyFont="1" applyFill="1" applyAlignment="1" applyProtection="1">
      <alignment/>
      <protection hidden="1"/>
    </xf>
    <xf numFmtId="0" fontId="10" fillId="16" borderId="0" xfId="0" applyFont="1" applyFill="1" applyAlignment="1" applyProtection="1">
      <alignment/>
      <protection hidden="1"/>
    </xf>
    <xf numFmtId="0" fontId="0" fillId="16" borderId="0" xfId="0" applyFont="1" applyFill="1" applyAlignment="1" applyProtection="1">
      <alignment/>
      <protection hidden="1"/>
    </xf>
    <xf numFmtId="0" fontId="5" fillId="18" borderId="0" xfId="0" applyFont="1" applyFill="1" applyAlignment="1" applyProtection="1">
      <alignment/>
      <protection hidden="1"/>
    </xf>
    <xf numFmtId="0" fontId="5" fillId="14" borderId="0" xfId="0" applyFont="1" applyFill="1" applyAlignment="1" applyProtection="1">
      <alignment/>
      <protection hidden="1"/>
    </xf>
    <xf numFmtId="0" fontId="10" fillId="14" borderId="0" xfId="0" applyFont="1" applyFill="1" applyAlignment="1" applyProtection="1">
      <alignment/>
      <protection hidden="1"/>
    </xf>
    <xf numFmtId="0" fontId="0" fillId="14" borderId="0" xfId="0" applyFont="1" applyFill="1" applyAlignment="1" applyProtection="1">
      <alignment/>
      <protection hidden="1"/>
    </xf>
    <xf numFmtId="0" fontId="9" fillId="14" borderId="0" xfId="0" applyFont="1" applyFill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8" fillId="0" borderId="0" xfId="0" applyFont="1" applyAlignment="1" applyProtection="1">
      <alignment/>
      <protection hidden="1"/>
    </xf>
    <xf numFmtId="203" fontId="0" fillId="0" borderId="0" xfId="46" applyNumberFormat="1" applyFont="1" applyAlignment="1" applyProtection="1">
      <alignment/>
      <protection hidden="1"/>
    </xf>
    <xf numFmtId="0" fontId="72" fillId="0" borderId="0" xfId="0" applyFont="1" applyFill="1" applyAlignment="1" applyProtection="1">
      <alignment horizontal="center"/>
      <protection hidden="1"/>
    </xf>
    <xf numFmtId="0" fontId="0" fillId="39" borderId="0" xfId="0" applyFill="1" applyAlignment="1">
      <alignment/>
    </xf>
    <xf numFmtId="0" fontId="0" fillId="39" borderId="0" xfId="0" applyFill="1" applyAlignment="1" applyProtection="1">
      <alignment/>
      <protection hidden="1"/>
    </xf>
    <xf numFmtId="203" fontId="0" fillId="39" borderId="0" xfId="0" applyNumberFormat="1" applyFill="1" applyAlignment="1">
      <alignment/>
    </xf>
    <xf numFmtId="203" fontId="0" fillId="39" borderId="0" xfId="46" applyNumberFormat="1" applyFont="1" applyFill="1" applyAlignment="1">
      <alignment/>
    </xf>
    <xf numFmtId="215" fontId="0" fillId="39" borderId="0" xfId="0" applyNumberFormat="1" applyFill="1" applyAlignment="1">
      <alignment/>
    </xf>
    <xf numFmtId="9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3" fontId="0" fillId="39" borderId="0" xfId="0" applyNumberFormat="1" applyFill="1" applyAlignment="1">
      <alignment/>
    </xf>
    <xf numFmtId="3" fontId="0" fillId="39" borderId="0" xfId="46" applyNumberFormat="1" applyFont="1" applyFill="1" applyAlignment="1">
      <alignment/>
    </xf>
    <xf numFmtId="9" fontId="79" fillId="39" borderId="0" xfId="58" applyFont="1" applyFill="1" applyAlignment="1">
      <alignment/>
    </xf>
    <xf numFmtId="0" fontId="4" fillId="39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3" fontId="4" fillId="39" borderId="0" xfId="46" applyNumberFormat="1" applyFont="1" applyFill="1" applyAlignment="1">
      <alignment/>
    </xf>
    <xf numFmtId="0" fontId="0" fillId="39" borderId="0" xfId="0" applyFont="1" applyFill="1" applyAlignment="1" applyProtection="1">
      <alignment/>
      <protection hidden="1"/>
    </xf>
    <xf numFmtId="9" fontId="0" fillId="39" borderId="0" xfId="58" applyFont="1" applyFill="1" applyAlignment="1">
      <alignment/>
    </xf>
    <xf numFmtId="0" fontId="0" fillId="39" borderId="0" xfId="0" applyFont="1" applyFill="1" applyAlignment="1">
      <alignment horizontal="right"/>
    </xf>
    <xf numFmtId="203" fontId="4" fillId="39" borderId="0" xfId="46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10" fontId="0" fillId="35" borderId="13" xfId="0" applyNumberFormat="1" applyFill="1" applyBorder="1" applyAlignment="1" applyProtection="1">
      <alignment/>
      <protection hidden="1"/>
    </xf>
    <xf numFmtId="206" fontId="0" fillId="10" borderId="16" xfId="58" applyNumberFormat="1" applyFont="1" applyFill="1" applyBorder="1" applyAlignment="1" applyProtection="1">
      <alignment/>
      <protection hidden="1"/>
    </xf>
    <xf numFmtId="206" fontId="0" fillId="10" borderId="13" xfId="58" applyNumberFormat="1" applyFont="1" applyFill="1" applyBorder="1" applyAlignment="1" applyProtection="1">
      <alignment/>
      <protection hidden="1"/>
    </xf>
    <xf numFmtId="3" fontId="0" fillId="34" borderId="0" xfId="0" applyNumberFormat="1" applyFill="1" applyBorder="1" applyAlignment="1" applyProtection="1">
      <alignment/>
      <protection hidden="1" locked="0"/>
    </xf>
    <xf numFmtId="0" fontId="1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18" fillId="36" borderId="0" xfId="0" applyFont="1" applyFill="1" applyAlignment="1" applyProtection="1">
      <alignment/>
      <protection hidden="1" locked="0"/>
    </xf>
    <xf numFmtId="0" fontId="18" fillId="36" borderId="0" xfId="0" applyFont="1" applyFill="1" applyAlignment="1" applyProtection="1">
      <alignment horizontal="center"/>
      <protection hidden="1" locked="0"/>
    </xf>
    <xf numFmtId="203" fontId="70" fillId="0" borderId="0" xfId="46" applyNumberFormat="1" applyFont="1" applyFill="1" applyBorder="1" applyAlignment="1">
      <alignment/>
    </xf>
    <xf numFmtId="3" fontId="69" fillId="34" borderId="13" xfId="0" applyNumberFormat="1" applyFont="1" applyFill="1" applyBorder="1" applyAlignment="1" applyProtection="1">
      <alignment/>
      <protection locked="0"/>
    </xf>
    <xf numFmtId="3" fontId="69" fillId="0" borderId="13" xfId="0" applyNumberFormat="1" applyFon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0" fillId="34" borderId="13" xfId="0" applyNumberFormat="1" applyFont="1" applyFill="1" applyBorder="1" applyAlignment="1" applyProtection="1">
      <alignment/>
      <protection locked="0"/>
    </xf>
    <xf numFmtId="3" fontId="0" fillId="34" borderId="13" xfId="0" applyNumberFormat="1" applyFont="1" applyFill="1" applyBorder="1" applyAlignment="1" applyProtection="1" quotePrefix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3" fontId="5" fillId="35" borderId="13" xfId="0" applyNumberFormat="1" applyFont="1" applyFill="1" applyBorder="1" applyAlignment="1" applyProtection="1">
      <alignment/>
      <protection hidden="1"/>
    </xf>
    <xf numFmtId="3" fontId="0" fillId="35" borderId="13" xfId="0" applyNumberFormat="1" applyFill="1" applyBorder="1" applyAlignment="1">
      <alignment/>
    </xf>
    <xf numFmtId="0" fontId="5" fillId="0" borderId="0" xfId="0" applyFont="1" applyAlignment="1">
      <alignment/>
    </xf>
    <xf numFmtId="3" fontId="5" fillId="35" borderId="13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 2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dxfs count="85"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47625</xdr:rowOff>
    </xdr:from>
    <xdr:to>
      <xdr:col>5</xdr:col>
      <xdr:colOff>819150</xdr:colOff>
      <xdr:row>56</xdr:row>
      <xdr:rowOff>47625</xdr:rowOff>
    </xdr:to>
    <xdr:sp>
      <xdr:nvSpPr>
        <xdr:cNvPr id="1" name="Tekstfelt 1"/>
        <xdr:cNvSpPr txBox="1">
          <a:spLocks noChangeArrowheads="1"/>
        </xdr:cNvSpPr>
      </xdr:nvSpPr>
      <xdr:spPr>
        <a:xfrm>
          <a:off x="47625" y="6858000"/>
          <a:ext cx="6648450" cy="2914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 fra producent: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[Indsæt eventuel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kommentar her]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311"/>
  <sheetViews>
    <sheetView tabSelected="1" view="pageBreakPreview" zoomScale="90" zoomScaleNormal="90" zoomScaleSheetLayoutView="90" zoomScalePageLayoutView="80" workbookViewId="0" topLeftCell="A1">
      <selection activeCell="G21" sqref="G21"/>
    </sheetView>
  </sheetViews>
  <sheetFormatPr defaultColWidth="11.421875" defaultRowHeight="12.75"/>
  <cols>
    <col min="1" max="1" width="27.28125" style="3" customWidth="1"/>
    <col min="2" max="2" width="19.7109375" style="3" customWidth="1"/>
    <col min="3" max="5" width="13.7109375" style="3" customWidth="1"/>
    <col min="6" max="6" width="14.57421875" style="3" bestFit="1" customWidth="1"/>
    <col min="7" max="8" width="11.421875" style="0" customWidth="1"/>
    <col min="9" max="9" width="14.00390625" style="0" bestFit="1" customWidth="1"/>
    <col min="10" max="10" width="11.421875" style="0" customWidth="1"/>
    <col min="11" max="11" width="11.140625" style="0" bestFit="1" customWidth="1"/>
    <col min="12" max="12" width="12.140625" style="0" bestFit="1" customWidth="1"/>
    <col min="13" max="16" width="11.421875" style="0" customWidth="1"/>
    <col min="17" max="17" width="13.8515625" style="3" bestFit="1" customWidth="1"/>
    <col min="18" max="16384" width="11.421875" style="3" customWidth="1"/>
  </cols>
  <sheetData>
    <row r="1" spans="1:5" ht="15">
      <c r="A1" s="1"/>
      <c r="B1" s="1"/>
      <c r="C1" s="1"/>
      <c r="D1" s="1"/>
      <c r="E1" s="2"/>
    </row>
    <row r="2" spans="1:6" ht="18" customHeight="1">
      <c r="A2" s="179" t="s">
        <v>294</v>
      </c>
      <c r="B2" s="179"/>
      <c r="C2" s="179"/>
      <c r="D2" s="179"/>
      <c r="E2" s="179"/>
      <c r="F2" s="179"/>
    </row>
    <row r="3" spans="1:6" ht="15.75" customHeight="1">
      <c r="A3" s="180" t="s">
        <v>289</v>
      </c>
      <c r="B3" s="181"/>
      <c r="C3" s="181"/>
      <c r="D3" s="181"/>
      <c r="E3" s="181"/>
      <c r="F3" s="181"/>
    </row>
    <row r="4" spans="1:6" ht="15.75" customHeight="1">
      <c r="A4" s="159"/>
      <c r="B4" s="157"/>
      <c r="C4" s="157"/>
      <c r="D4" s="157"/>
      <c r="E4" s="157"/>
      <c r="F4" s="157"/>
    </row>
    <row r="5" spans="1:6" ht="18" customHeight="1">
      <c r="A5" s="182"/>
      <c r="B5" s="182"/>
      <c r="C5" s="182"/>
      <c r="D5" s="182"/>
      <c r="E5" s="182"/>
      <c r="F5" s="182"/>
    </row>
    <row r="6" spans="1:6" ht="17.25">
      <c r="A6" s="94" t="s">
        <v>271</v>
      </c>
      <c r="B6" s="162" t="s">
        <v>302</v>
      </c>
      <c r="C6" s="96"/>
      <c r="D6" s="96"/>
      <c r="E6" s="97" t="s">
        <v>241</v>
      </c>
      <c r="F6" s="161" t="s">
        <v>303</v>
      </c>
    </row>
    <row r="7" spans="1:5" ht="12.75">
      <c r="A7" s="4"/>
      <c r="B7" s="4"/>
      <c r="C7" s="4"/>
      <c r="D7" s="4"/>
      <c r="E7" s="4"/>
    </row>
    <row r="8" spans="1:5" ht="12.75">
      <c r="A8" s="4" t="s">
        <v>272</v>
      </c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 t="s">
        <v>50</v>
      </c>
      <c r="B10" s="4"/>
      <c r="C10" s="4"/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4" t="s">
        <v>273</v>
      </c>
      <c r="B12" s="4"/>
      <c r="C12" s="4"/>
      <c r="D12" s="4"/>
      <c r="E12" s="4"/>
    </row>
    <row r="13" spans="1:5" ht="12.75">
      <c r="A13" s="4" t="s">
        <v>274</v>
      </c>
      <c r="B13" s="4"/>
      <c r="C13" s="4"/>
      <c r="D13" s="4"/>
      <c r="E13" s="4"/>
    </row>
    <row r="14" spans="1:4" ht="12.75">
      <c r="A14" s="5"/>
      <c r="B14" s="4"/>
      <c r="C14" s="4"/>
      <c r="D14" s="4"/>
    </row>
    <row r="15" spans="1:4" ht="12.75">
      <c r="A15" s="4" t="s">
        <v>48</v>
      </c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 t="s">
        <v>15</v>
      </c>
      <c r="B17" s="4"/>
      <c r="C17" s="4"/>
      <c r="D17" s="4"/>
    </row>
    <row r="18" spans="1:4" ht="12.75">
      <c r="A18" s="4" t="s">
        <v>76</v>
      </c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 t="s">
        <v>275</v>
      </c>
      <c r="B20" s="4"/>
      <c r="C20" s="4"/>
      <c r="D20" s="4"/>
    </row>
    <row r="21" spans="1:4" ht="12.75">
      <c r="A21" s="4" t="s">
        <v>276</v>
      </c>
      <c r="B21" s="4"/>
      <c r="C21" s="4"/>
      <c r="D21" s="4"/>
    </row>
    <row r="22" spans="1:4" ht="12.75">
      <c r="A22" s="4" t="s">
        <v>277</v>
      </c>
      <c r="B22" s="4"/>
      <c r="C22" s="4"/>
      <c r="D22" s="4"/>
    </row>
    <row r="23" spans="1:6" ht="13.5" thickBot="1">
      <c r="A23" s="6"/>
      <c r="B23" s="6"/>
      <c r="C23" s="7"/>
      <c r="D23" s="7"/>
      <c r="E23" s="7"/>
      <c r="F23" s="7"/>
    </row>
    <row r="24" ht="12.75">
      <c r="A24" s="5"/>
    </row>
    <row r="25" spans="1:5" ht="15">
      <c r="A25" s="160" t="s">
        <v>0</v>
      </c>
      <c r="B25" s="169"/>
      <c r="C25" s="8"/>
      <c r="D25" s="8"/>
      <c r="E25" s="8"/>
    </row>
    <row r="26" spans="1:5" ht="15">
      <c r="A26" s="160"/>
      <c r="B26" s="169"/>
      <c r="C26" s="8"/>
      <c r="D26" s="8"/>
      <c r="E26" s="8"/>
    </row>
    <row r="27" spans="1:5" ht="15">
      <c r="A27" s="160" t="s">
        <v>34</v>
      </c>
      <c r="B27" s="169"/>
      <c r="C27" s="8"/>
      <c r="D27" s="8"/>
      <c r="E27" s="8"/>
    </row>
    <row r="28" spans="1:5" ht="15">
      <c r="A28" s="160" t="s">
        <v>216</v>
      </c>
      <c r="B28" s="169"/>
      <c r="C28" s="8"/>
      <c r="D28" s="8"/>
      <c r="E28" s="8"/>
    </row>
    <row r="29" spans="1:5" ht="15">
      <c r="A29" s="160"/>
      <c r="B29" s="169"/>
      <c r="C29" s="8"/>
      <c r="D29" s="8"/>
      <c r="E29" s="8"/>
    </row>
    <row r="30" spans="1:5" ht="15">
      <c r="A30" s="160" t="s">
        <v>35</v>
      </c>
      <c r="B30" s="169"/>
      <c r="C30" s="8"/>
      <c r="D30" s="8"/>
      <c r="E30" s="8"/>
    </row>
    <row r="31" spans="1:5" ht="15">
      <c r="A31" s="160"/>
      <c r="B31" s="169"/>
      <c r="C31" s="8"/>
      <c r="D31" s="8"/>
      <c r="E31" s="8"/>
    </row>
    <row r="32" spans="1:5" ht="15">
      <c r="A32" s="160" t="s">
        <v>36</v>
      </c>
      <c r="B32" s="169"/>
      <c r="C32" s="8"/>
      <c r="D32" s="8"/>
      <c r="E32" s="8"/>
    </row>
    <row r="33" spans="1:5" ht="15">
      <c r="A33" s="160"/>
      <c r="B33" s="169"/>
      <c r="C33" s="8"/>
      <c r="D33" s="8"/>
      <c r="E33" s="8"/>
    </row>
    <row r="34" spans="1:5" ht="15">
      <c r="A34" s="160" t="s">
        <v>239</v>
      </c>
      <c r="B34" s="169"/>
      <c r="C34" s="158" t="s">
        <v>240</v>
      </c>
      <c r="D34" s="131"/>
      <c r="E34" s="80"/>
    </row>
    <row r="35" spans="1:5" ht="15">
      <c r="A35" s="160"/>
      <c r="B35" s="169"/>
      <c r="C35" s="8"/>
      <c r="D35" s="132"/>
      <c r="E35" s="8"/>
    </row>
    <row r="36" spans="1:4" ht="15">
      <c r="A36" s="160" t="s">
        <v>77</v>
      </c>
      <c r="B36" s="64"/>
      <c r="C36" s="158" t="s">
        <v>240</v>
      </c>
      <c r="D36" s="131"/>
    </row>
    <row r="37" spans="1:6" ht="13.5" thickBot="1">
      <c r="A37" s="6"/>
      <c r="B37" s="7"/>
      <c r="C37" s="7"/>
      <c r="D37" s="7"/>
      <c r="E37" s="7"/>
      <c r="F37" s="7"/>
    </row>
    <row r="38" ht="12.75">
      <c r="A38" s="5"/>
    </row>
    <row r="58" ht="13.5">
      <c r="F58" s="8">
        <v>1</v>
      </c>
    </row>
    <row r="59" spans="1:6" ht="17.25">
      <c r="A59" s="94" t="s">
        <v>37</v>
      </c>
      <c r="B59" s="95"/>
      <c r="C59" s="96"/>
      <c r="D59" s="96"/>
      <c r="E59" s="97"/>
      <c r="F59" s="98"/>
    </row>
    <row r="61" spans="1:4" ht="15">
      <c r="A61" s="10" t="s">
        <v>38</v>
      </c>
      <c r="D61" s="11" t="s">
        <v>28</v>
      </c>
    </row>
    <row r="62" ht="12.75">
      <c r="D62" s="12" t="s">
        <v>29</v>
      </c>
    </row>
    <row r="63" spans="1:2" ht="12.75">
      <c r="A63" s="4" t="s">
        <v>278</v>
      </c>
      <c r="B63" s="68"/>
    </row>
    <row r="64" spans="1:4" ht="12.75">
      <c r="A64" s="3" t="s">
        <v>23</v>
      </c>
      <c r="B64" s="68"/>
      <c r="D64" s="70">
        <f aca="true" t="shared" si="0" ref="D64:D69">B64</f>
        <v>0</v>
      </c>
    </row>
    <row r="65" spans="1:4" ht="12.75">
      <c r="A65" s="4" t="s">
        <v>173</v>
      </c>
      <c r="B65" s="68"/>
      <c r="D65" s="70">
        <f t="shared" si="0"/>
        <v>0</v>
      </c>
    </row>
    <row r="66" spans="1:4" ht="12.75">
      <c r="A66" s="4" t="s">
        <v>304</v>
      </c>
      <c r="B66" s="68"/>
      <c r="C66" s="37">
        <f>+IF(SUM(B66:B67)&gt;0,IF(SUM(B68:B69)&gt;0,"Fejl i MG",""),"")</f>
      </c>
      <c r="D66" s="70">
        <f t="shared" si="0"/>
        <v>0</v>
      </c>
    </row>
    <row r="67" spans="1:4" ht="12.75">
      <c r="A67" s="4" t="s">
        <v>305</v>
      </c>
      <c r="B67" s="68"/>
      <c r="C67" s="37">
        <f>+IF(SUM(B66:B67)&gt;0,IF(SUM(B68:B69)&gt;0,"Fejl i MG",""),"")</f>
      </c>
      <c r="D67" s="70">
        <f t="shared" si="0"/>
        <v>0</v>
      </c>
    </row>
    <row r="68" spans="1:4" ht="12.75">
      <c r="A68" s="4" t="s">
        <v>306</v>
      </c>
      <c r="B68" s="68"/>
      <c r="C68" s="37">
        <f>+IF(B68&gt;0,IF((B66+B67+B69)&gt;0,"Fejl i MG",""),"")</f>
      </c>
      <c r="D68" s="70">
        <f t="shared" si="0"/>
        <v>0</v>
      </c>
    </row>
    <row r="69" spans="1:4" ht="12.75">
      <c r="A69" s="4" t="s">
        <v>307</v>
      </c>
      <c r="B69" s="68"/>
      <c r="C69" s="37">
        <f>+IF(B69&gt;0,IF((B66+B67+B68)&gt;0,"Fejl i MG",""),"")</f>
      </c>
      <c r="D69" s="70">
        <f t="shared" si="0"/>
        <v>0</v>
      </c>
    </row>
    <row r="70" spans="1:4" ht="12.75">
      <c r="A70" s="13" t="s">
        <v>122</v>
      </c>
      <c r="B70" s="68"/>
      <c r="C70" s="37"/>
      <c r="D70" s="14"/>
    </row>
    <row r="71" spans="1:4" ht="12.75">
      <c r="A71" s="4" t="s">
        <v>283</v>
      </c>
      <c r="B71" s="68"/>
      <c r="D71" s="14"/>
    </row>
    <row r="72" spans="1:4" ht="12.75">
      <c r="A72" s="4" t="s">
        <v>284</v>
      </c>
      <c r="B72" s="68"/>
      <c r="D72" s="14"/>
    </row>
    <row r="73" spans="1:4" ht="12.75">
      <c r="A73" s="4" t="s">
        <v>158</v>
      </c>
      <c r="B73" s="68"/>
      <c r="D73" s="37"/>
    </row>
    <row r="74" spans="1:2" ht="12.75">
      <c r="A74" s="4" t="s">
        <v>157</v>
      </c>
      <c r="B74" s="68"/>
    </row>
    <row r="75" spans="1:4" ht="12.75">
      <c r="A75" s="4" t="s">
        <v>156</v>
      </c>
      <c r="B75" s="68"/>
      <c r="D75" s="14"/>
    </row>
    <row r="76" spans="1:4" ht="12.75">
      <c r="A76" s="4" t="s">
        <v>155</v>
      </c>
      <c r="B76" s="68"/>
      <c r="D76" s="14"/>
    </row>
    <row r="77" spans="1:4" ht="12.75">
      <c r="A77" s="4" t="s">
        <v>154</v>
      </c>
      <c r="B77" s="74"/>
      <c r="D77" s="14"/>
    </row>
    <row r="78" spans="1:4" ht="12.75">
      <c r="A78" s="4" t="s">
        <v>153</v>
      </c>
      <c r="B78" s="74"/>
      <c r="D78" s="14"/>
    </row>
    <row r="79" spans="1:4" ht="12.75">
      <c r="A79" s="4" t="s">
        <v>24</v>
      </c>
      <c r="B79" s="68"/>
      <c r="D79" s="14"/>
    </row>
    <row r="80" spans="1:4" ht="12.75">
      <c r="A80" s="4" t="s">
        <v>30</v>
      </c>
      <c r="B80" s="68"/>
      <c r="D80" s="14"/>
    </row>
    <row r="81" spans="1:4" ht="12.75">
      <c r="A81" s="4" t="s">
        <v>31</v>
      </c>
      <c r="B81" s="74"/>
      <c r="D81" s="14"/>
    </row>
    <row r="82" spans="1:4" ht="12.75">
      <c r="A82" s="4" t="s">
        <v>27</v>
      </c>
      <c r="B82" s="68"/>
      <c r="D82" s="14"/>
    </row>
    <row r="83" spans="1:4" ht="12.75">
      <c r="A83" s="4" t="s">
        <v>11</v>
      </c>
      <c r="B83" s="68"/>
      <c r="D83" s="14"/>
    </row>
    <row r="84" spans="1:4" ht="12.75">
      <c r="A84" s="4" t="s">
        <v>301</v>
      </c>
      <c r="B84" s="68"/>
      <c r="D84" s="14"/>
    </row>
    <row r="85" spans="1:4" ht="12.75">
      <c r="A85" s="4" t="s">
        <v>125</v>
      </c>
      <c r="B85" s="68"/>
      <c r="D85" s="14"/>
    </row>
    <row r="86" spans="1:4" ht="12.75">
      <c r="A86" s="3" t="s">
        <v>32</v>
      </c>
      <c r="B86" s="74"/>
      <c r="D86" s="14"/>
    </row>
    <row r="87" spans="1:4" ht="12.75">
      <c r="A87" s="4" t="s">
        <v>117</v>
      </c>
      <c r="B87" s="68"/>
      <c r="D87" s="14"/>
    </row>
    <row r="88" spans="1:4" ht="12.75">
      <c r="A88" s="4" t="s">
        <v>126</v>
      </c>
      <c r="B88" s="74"/>
      <c r="D88" s="14"/>
    </row>
    <row r="89" spans="1:4" ht="12.75">
      <c r="A89" s="3" t="s">
        <v>74</v>
      </c>
      <c r="B89" s="68"/>
      <c r="D89" s="15"/>
    </row>
    <row r="91" spans="1:4" ht="12.75">
      <c r="A91" s="3" t="s">
        <v>20</v>
      </c>
      <c r="B91" s="69">
        <f>SUM(B63:B89)</f>
        <v>0</v>
      </c>
      <c r="D91" s="70">
        <f>SUM(D64:D70)</f>
        <v>0</v>
      </c>
    </row>
    <row r="92" spans="1:5" ht="12.75">
      <c r="A92" s="16"/>
      <c r="B92" s="17"/>
      <c r="C92" s="17"/>
      <c r="D92" s="18"/>
      <c r="E92" s="17"/>
    </row>
    <row r="93" spans="1:5" ht="12.75">
      <c r="A93" s="3" t="s">
        <v>74</v>
      </c>
      <c r="B93" s="83">
        <f>B89</f>
        <v>0</v>
      </c>
      <c r="C93" s="17"/>
      <c r="D93" s="18"/>
      <c r="E93" s="17"/>
    </row>
    <row r="94" spans="1:5" ht="12.75">
      <c r="A94" s="16"/>
      <c r="B94" s="17"/>
      <c r="C94" s="17"/>
      <c r="D94" s="18"/>
      <c r="E94" s="17"/>
    </row>
    <row r="95" spans="1:5" ht="12.75">
      <c r="A95" s="4" t="s">
        <v>152</v>
      </c>
      <c r="B95" s="69">
        <f>B91-B93</f>
        <v>0</v>
      </c>
      <c r="C95" s="17"/>
      <c r="D95" s="18"/>
      <c r="E95" s="17"/>
    </row>
    <row r="96" spans="1:6" ht="13.5" thickBot="1">
      <c r="A96" s="19"/>
      <c r="B96" s="7"/>
      <c r="C96" s="7"/>
      <c r="D96" s="20"/>
      <c r="E96" s="7"/>
      <c r="F96" s="7"/>
    </row>
    <row r="98" spans="1:4" ht="15">
      <c r="A98" s="10" t="s">
        <v>25</v>
      </c>
      <c r="D98" s="153">
        <f>+_xlfn.IFERROR(ROUND(B63/(B95),4),0)</f>
        <v>0</v>
      </c>
    </row>
    <row r="99" spans="1:6" ht="15" customHeight="1" thickBot="1">
      <c r="A99" s="21"/>
      <c r="B99" s="7"/>
      <c r="C99" s="7"/>
      <c r="D99" s="20"/>
      <c r="E99" s="7"/>
      <c r="F99" s="7"/>
    </row>
    <row r="101" ht="15">
      <c r="A101" s="10" t="s">
        <v>26</v>
      </c>
    </row>
    <row r="103" spans="1:4" ht="12.75">
      <c r="A103" s="22" t="s">
        <v>69</v>
      </c>
      <c r="D103" s="70">
        <f>D91</f>
        <v>0</v>
      </c>
    </row>
    <row r="105" spans="1:4" ht="12.75">
      <c r="A105" s="22" t="s">
        <v>70</v>
      </c>
      <c r="D105" s="70">
        <f>ROUND(D91*75%,0)</f>
        <v>0</v>
      </c>
    </row>
    <row r="107" spans="1:4" ht="12.75">
      <c r="A107" s="22" t="s">
        <v>290</v>
      </c>
      <c r="D107" s="70">
        <f>+D105+D103</f>
        <v>0</v>
      </c>
    </row>
    <row r="108" ht="12.75">
      <c r="A108" s="23"/>
    </row>
    <row r="109" spans="1:6" ht="13.5" thickBot="1">
      <c r="A109" s="19"/>
      <c r="B109" s="7"/>
      <c r="C109" s="7"/>
      <c r="D109" s="20"/>
      <c r="E109" s="7"/>
      <c r="F109" s="7"/>
    </row>
    <row r="111" spans="1:4" ht="17.25">
      <c r="A111" s="10" t="s">
        <v>217</v>
      </c>
      <c r="B111" s="24"/>
      <c r="C111" s="25"/>
      <c r="D111" s="70">
        <f>F311</f>
        <v>0</v>
      </c>
    </row>
    <row r="112" spans="1:6" ht="18" thickBot="1">
      <c r="A112" s="21"/>
      <c r="B112" s="26"/>
      <c r="C112" s="27"/>
      <c r="D112" s="28"/>
      <c r="E112" s="7"/>
      <c r="F112" s="7"/>
    </row>
    <row r="113" spans="1:4" ht="12.75">
      <c r="A113" s="22"/>
      <c r="D113" s="17"/>
    </row>
    <row r="114" spans="1:4" ht="12.75">
      <c r="A114" s="4" t="s">
        <v>279</v>
      </c>
      <c r="D114" s="70">
        <v>1000000</v>
      </c>
    </row>
    <row r="115" ht="12.75">
      <c r="A115" s="88" t="s">
        <v>291</v>
      </c>
    </row>
    <row r="116" ht="12.75">
      <c r="A116" s="88" t="s">
        <v>292</v>
      </c>
    </row>
    <row r="117" ht="12.75">
      <c r="A117" s="88"/>
    </row>
    <row r="118" spans="1:4" ht="12.75">
      <c r="A118" s="88" t="s">
        <v>279</v>
      </c>
      <c r="B118" s="88"/>
      <c r="C118" s="88"/>
      <c r="D118" s="171">
        <f>+IF(D107-D114&gt;0,D107-D114,0)</f>
        <v>0</v>
      </c>
    </row>
    <row r="119" spans="1:4" ht="12.75">
      <c r="A119" s="88" t="s">
        <v>295</v>
      </c>
      <c r="B119"/>
      <c r="C119"/>
      <c r="D119"/>
    </row>
    <row r="120" ht="12.75">
      <c r="A120" s="88"/>
    </row>
    <row r="121" spans="1:4" ht="12.75">
      <c r="A121" s="172" t="s">
        <v>296</v>
      </c>
      <c r="B121"/>
      <c r="C121"/>
      <c r="D121" s="173">
        <f>+D118+D114</f>
        <v>1000000</v>
      </c>
    </row>
    <row r="122" spans="1:4" ht="12.75">
      <c r="A122" s="172" t="s">
        <v>293</v>
      </c>
      <c r="B122"/>
      <c r="C122"/>
      <c r="D122"/>
    </row>
    <row r="123" spans="1:4" ht="12.75">
      <c r="A123" s="172"/>
      <c r="B123"/>
      <c r="C123"/>
      <c r="D123"/>
    </row>
    <row r="124" ht="12.75">
      <c r="A124" s="88"/>
    </row>
    <row r="125" spans="1:4" ht="12.75">
      <c r="A125" s="22" t="s">
        <v>297</v>
      </c>
      <c r="D125" s="70">
        <f>IF(D111-D121&gt;0,D111-D121,0)</f>
        <v>0</v>
      </c>
    </row>
    <row r="126" ht="12.75">
      <c r="A126" s="22"/>
    </row>
    <row r="127" ht="12.75">
      <c r="A127" s="22"/>
    </row>
    <row r="128" spans="1:4" ht="12.75">
      <c r="A128" s="22" t="s">
        <v>280</v>
      </c>
      <c r="D128" s="70">
        <f>IF(D125&gt;0,D125*D98,0)</f>
        <v>0</v>
      </c>
    </row>
    <row r="129" ht="12.75">
      <c r="A129" s="22"/>
    </row>
    <row r="130" ht="12.75">
      <c r="A130" s="22"/>
    </row>
    <row r="131" spans="1:4" ht="12.75">
      <c r="A131" s="22" t="s">
        <v>281</v>
      </c>
      <c r="D131" s="71"/>
    </row>
    <row r="132" ht="12.75">
      <c r="A132" s="22"/>
    </row>
    <row r="133" ht="12.75">
      <c r="A133" s="22"/>
    </row>
    <row r="134" spans="1:4" ht="15">
      <c r="A134" s="10" t="s">
        <v>282</v>
      </c>
      <c r="D134" s="70">
        <f>D128-D131</f>
        <v>0</v>
      </c>
    </row>
    <row r="135" ht="12.75">
      <c r="A135" s="5"/>
    </row>
    <row r="136" spans="1:6" ht="12" customHeight="1">
      <c r="A136" s="29"/>
      <c r="B136" s="4"/>
      <c r="F136" s="8"/>
    </row>
    <row r="137" spans="1:6" ht="12" customHeight="1">
      <c r="A137" s="29"/>
      <c r="B137" s="4"/>
      <c r="F137" s="8">
        <v>2</v>
      </c>
    </row>
    <row r="138" spans="1:6" ht="17.25">
      <c r="A138" s="94" t="s">
        <v>47</v>
      </c>
      <c r="B138" s="95"/>
      <c r="C138" s="96"/>
      <c r="D138" s="96"/>
      <c r="E138" s="97"/>
      <c r="F138" s="98"/>
    </row>
    <row r="139" spans="1:2" ht="12" customHeight="1">
      <c r="A139" s="29"/>
      <c r="B139" s="4"/>
    </row>
    <row r="140" spans="1:2" ht="12" customHeight="1">
      <c r="A140" s="29"/>
      <c r="B140" s="4"/>
    </row>
    <row r="141" spans="1:2" ht="12" customHeight="1">
      <c r="A141" s="29"/>
      <c r="B141" s="4"/>
    </row>
    <row r="142" spans="1:6" ht="15.75" customHeight="1">
      <c r="A142" s="120" t="s">
        <v>46</v>
      </c>
      <c r="B142" s="121"/>
      <c r="C142" s="121"/>
      <c r="D142" s="121"/>
      <c r="E142" s="121"/>
      <c r="F142" s="121"/>
    </row>
    <row r="143" spans="1:2" ht="12.75">
      <c r="A143" s="4"/>
      <c r="B143" s="4"/>
    </row>
    <row r="144" spans="1:4" ht="12.75">
      <c r="A144" s="22" t="s">
        <v>218</v>
      </c>
      <c r="B144" s="4"/>
      <c r="D144" s="70">
        <f>+Bilag!C8</f>
        <v>0</v>
      </c>
    </row>
    <row r="145" spans="1:4" ht="12.75">
      <c r="A145" s="23" t="s">
        <v>78</v>
      </c>
      <c r="B145" s="22"/>
      <c r="D145" s="15"/>
    </row>
    <row r="146" spans="2:4" ht="12.75">
      <c r="B146" s="22"/>
      <c r="D146" s="15"/>
    </row>
    <row r="147" spans="1:4" ht="12.75">
      <c r="A147" s="22" t="s">
        <v>219</v>
      </c>
      <c r="B147" s="4"/>
      <c r="D147" s="70">
        <f>+Bilag!C10</f>
        <v>0</v>
      </c>
    </row>
    <row r="148" spans="1:4" ht="12.75">
      <c r="A148" s="23" t="s">
        <v>298</v>
      </c>
      <c r="B148" s="22"/>
      <c r="D148" s="15"/>
    </row>
    <row r="149" spans="1:5" ht="13.5" thickBot="1">
      <c r="A149" s="5"/>
      <c r="B149" s="4"/>
      <c r="C149" s="25"/>
      <c r="D149" s="17"/>
      <c r="E149" s="17"/>
    </row>
    <row r="150" spans="1:6" ht="15.75" thickBot="1">
      <c r="A150" s="30" t="s">
        <v>133</v>
      </c>
      <c r="B150" s="31"/>
      <c r="C150" s="31"/>
      <c r="D150" s="31"/>
      <c r="E150" s="31"/>
      <c r="F150" s="72">
        <f>D144-D147</f>
        <v>0</v>
      </c>
    </row>
    <row r="151" spans="1:2" ht="12" customHeight="1">
      <c r="A151" s="29"/>
      <c r="B151" s="4"/>
    </row>
    <row r="152" spans="1:2" ht="12" customHeight="1">
      <c r="A152" s="29"/>
      <c r="B152" s="4"/>
    </row>
    <row r="153" spans="1:6" ht="15.75" customHeight="1">
      <c r="A153" s="109" t="s">
        <v>16</v>
      </c>
      <c r="B153" s="126"/>
      <c r="C153" s="126"/>
      <c r="D153" s="126"/>
      <c r="E153" s="126"/>
      <c r="F153" s="127"/>
    </row>
    <row r="154" ht="15.75" customHeight="1"/>
    <row r="155" spans="1:5" ht="15.75" customHeight="1">
      <c r="A155" s="22" t="s">
        <v>308</v>
      </c>
      <c r="E155" s="69">
        <f>+B66+B68+B69</f>
        <v>0</v>
      </c>
    </row>
    <row r="156" spans="1:5" ht="15.75" customHeight="1">
      <c r="A156" s="158" t="s">
        <v>242</v>
      </c>
      <c r="D156" s="32"/>
      <c r="E156" s="33">
        <f>+IF(((Bilag!B34-Bilag!B36)&gt;(E155)),0,IF(AND((Bilag!B34-Bilag!B36)&gt;0,(Bilag!B34-Bilag!B36)&lt;(E155)),E155-(Bilag!B34-Bilag!B36),E155))</f>
        <v>0</v>
      </c>
    </row>
    <row r="157" spans="1:5" ht="15.75" customHeight="1">
      <c r="A157" s="4" t="s">
        <v>243</v>
      </c>
      <c r="D157" s="32" t="s">
        <v>110</v>
      </c>
      <c r="E157" s="33">
        <f>+IF(((Bilag!B62-Bilag!B64)&gt;(E156)),0,IF(AND((Bilag!B62-Bilag!B64)&gt;0,(Bilag!B62-Bilag!B64)&lt;(E156)),E156-(Bilag!B62-Bilag!B64),E156))</f>
        <v>0</v>
      </c>
    </row>
    <row r="158" spans="1:5" ht="10.5" customHeight="1">
      <c r="A158" s="4"/>
      <c r="D158" s="32" t="s">
        <v>112</v>
      </c>
      <c r="E158" s="33">
        <f>+IF(((Bilag!B79-Bilag!B81)&gt;(E157)),0,IF(AND((Bilag!B79-Bilag!B81)&gt;0,(Bilag!B79-Bilag!B81)&lt;(E157)),E157-(Bilag!B79-Bilag!B81),E157))</f>
        <v>0</v>
      </c>
    </row>
    <row r="159" spans="1:6" ht="14.25" customHeight="1">
      <c r="A159" s="22" t="s">
        <v>113</v>
      </c>
      <c r="D159" s="69">
        <f>+Bilag!F30</f>
        <v>0</v>
      </c>
      <c r="E159" s="33">
        <f>+IF(((Bilag!B93-Bilag!B95)&gt;(E158)),0,IF(AND((Bilag!B93-Bilag!B95)&gt;0,(Bilag!B93-Bilag!B95)&lt;(E158)),E158-(Bilag!B93-Bilag!B95),E158))</f>
        <v>0</v>
      </c>
      <c r="F159"/>
    </row>
    <row r="160" spans="1:6" ht="15.75" customHeight="1">
      <c r="A160" s="4" t="s">
        <v>107</v>
      </c>
      <c r="E160" s="33">
        <f>+IF(((Bilag!B138-Bilag!B140)&gt;(E159)),0,IF(AND((Bilag!B138-Bilag!B140)&gt;0,(Bilag!B138-Bilag!B140)&lt;(E159)),E159-(Bilag!B138-Bilag!B140),E159))</f>
        <v>0</v>
      </c>
      <c r="F160"/>
    </row>
    <row r="161" spans="1:6" ht="15.75" customHeight="1">
      <c r="A161" s="4" t="s">
        <v>299</v>
      </c>
      <c r="E161" s="33">
        <f>+IF(((Bilag!B160-Bilag!B162)&gt;(E160)),0,IF(AND((Bilag!B160-Bilag!B162)&gt;0,(Bilag!B160-Bilag!B162)&lt;(E160)),E160-(Bilag!B160-Bilag!B162),E160))</f>
        <v>0</v>
      </c>
      <c r="F161" s="37"/>
    </row>
    <row r="162" spans="1:6" ht="15.75" customHeight="1">
      <c r="A162" s="4"/>
      <c r="E162" s="33"/>
      <c r="F162" s="37"/>
    </row>
    <row r="163" spans="1:6" ht="12.75">
      <c r="A163" s="22" t="s">
        <v>97</v>
      </c>
      <c r="B163" s="22"/>
      <c r="F163"/>
    </row>
    <row r="164" spans="1:7" ht="12.75">
      <c r="A164" s="4" t="s">
        <v>220</v>
      </c>
      <c r="C164" s="70">
        <f>+Bilag!F42</f>
        <v>0</v>
      </c>
      <c r="D164" s="34"/>
      <c r="F164"/>
      <c r="G164" s="88"/>
    </row>
    <row r="165" spans="1:6" ht="12.75">
      <c r="A165" s="4"/>
      <c r="E165" s="33">
        <f>+IF(((Bilag!B174-Bilag!B176)&gt;(E161)),0,IF(AND((Bilag!B174-Bilag!B176)&gt;0,(Bilag!B174-Bilag!B176)&lt;(E161)),E161-(Bilag!B174-Bilag!B176),E161))</f>
        <v>0</v>
      </c>
      <c r="F165" s="38"/>
    </row>
    <row r="166" spans="1:6" ht="12.75">
      <c r="A166" s="22" t="s">
        <v>309</v>
      </c>
      <c r="D166" s="70">
        <f>+IF(C164&gt;0,(IF(C164&gt;E155,E155,C164)),0)</f>
        <v>0</v>
      </c>
      <c r="F166"/>
    </row>
    <row r="167" spans="1:6" ht="12.75">
      <c r="A167" s="22" t="s">
        <v>114</v>
      </c>
      <c r="D167" s="70">
        <f>E155-D166</f>
        <v>0</v>
      </c>
      <c r="F167"/>
    </row>
    <row r="168" spans="1:6" ht="12.75">
      <c r="A168" s="4"/>
      <c r="F168"/>
    </row>
    <row r="169" spans="1:4" ht="12.75">
      <c r="A169" s="174" t="s">
        <v>310</v>
      </c>
      <c r="B169" s="175"/>
      <c r="D169" s="70">
        <f>+C164-D166</f>
        <v>0</v>
      </c>
    </row>
    <row r="170" spans="1:6" ht="13.5" thickBot="1">
      <c r="A170" s="176"/>
      <c r="B170" s="177"/>
      <c r="C170" s="7"/>
      <c r="D170" s="7"/>
      <c r="E170" s="7"/>
      <c r="F170" s="178"/>
    </row>
    <row r="171" spans="1:6" ht="12.75">
      <c r="A171" s="4"/>
      <c r="D171" s="34"/>
      <c r="F171"/>
    </row>
    <row r="172" spans="1:6" ht="12.75">
      <c r="A172" s="22" t="s">
        <v>311</v>
      </c>
      <c r="B172" s="22"/>
      <c r="C172" s="22"/>
      <c r="E172" s="70">
        <f>+IF(B67&gt;0,B67,IF(B68&gt;0,(B68-D166),IF(B69&gt;0,(B69-D166),0)))</f>
        <v>0</v>
      </c>
      <c r="F172"/>
    </row>
    <row r="173" spans="1:6" ht="12.75">
      <c r="A173" s="4"/>
      <c r="D173" s="34"/>
      <c r="F173"/>
    </row>
    <row r="174" spans="1:6" ht="12.75">
      <c r="A174" s="22" t="s">
        <v>92</v>
      </c>
      <c r="B174" s="22"/>
      <c r="C174" s="14"/>
      <c r="D174" s="34"/>
      <c r="F174"/>
    </row>
    <row r="175" spans="1:6" ht="12.75">
      <c r="A175" s="4" t="s">
        <v>221</v>
      </c>
      <c r="B175" s="4"/>
      <c r="C175" s="70">
        <f>+Bilag!F99</f>
        <v>0</v>
      </c>
      <c r="D175" s="34"/>
      <c r="F175"/>
    </row>
    <row r="176" spans="1:6" ht="12.75">
      <c r="A176" s="4"/>
      <c r="B176" s="4"/>
      <c r="C176" s="77"/>
      <c r="D176" s="34"/>
      <c r="F176"/>
    </row>
    <row r="177" spans="1:7" ht="12.75">
      <c r="A177" s="22" t="s">
        <v>118</v>
      </c>
      <c r="B177" s="4"/>
      <c r="C177" s="70">
        <f>+Bilag!C117</f>
        <v>0</v>
      </c>
      <c r="D177" s="67"/>
      <c r="F177"/>
      <c r="G177" s="88"/>
    </row>
    <row r="178" spans="1:7" ht="12.75">
      <c r="A178" s="22"/>
      <c r="B178" s="4"/>
      <c r="D178" s="67"/>
      <c r="F178"/>
      <c r="G178" s="88"/>
    </row>
    <row r="179" spans="1:7" ht="12.75">
      <c r="A179" s="22" t="s">
        <v>312</v>
      </c>
      <c r="D179" s="70">
        <f>+IF((C175+C177)&gt;E172,E172,(C175+C177))</f>
        <v>0</v>
      </c>
      <c r="F179"/>
      <c r="G179" s="88"/>
    </row>
    <row r="180" spans="1:7" ht="12.75">
      <c r="A180" s="22" t="s">
        <v>114</v>
      </c>
      <c r="D180" s="70">
        <f>E172-D179</f>
        <v>0</v>
      </c>
      <c r="F180"/>
      <c r="G180" s="88"/>
    </row>
    <row r="181" spans="1:7" ht="12.75">
      <c r="A181" s="22"/>
      <c r="B181" s="4"/>
      <c r="D181" s="67"/>
      <c r="F181"/>
      <c r="G181" s="88"/>
    </row>
    <row r="182" spans="1:7" ht="12.75">
      <c r="A182" s="174" t="s">
        <v>310</v>
      </c>
      <c r="B182" s="175"/>
      <c r="D182" s="70">
        <f>(C177+C175)-D179</f>
        <v>0</v>
      </c>
      <c r="F182"/>
      <c r="G182" s="88"/>
    </row>
    <row r="183" spans="1:6" ht="12.75">
      <c r="A183" s="4"/>
      <c r="B183" s="4"/>
      <c r="D183" s="67"/>
      <c r="F183"/>
    </row>
    <row r="184" spans="1:6" ht="12.75">
      <c r="A184" s="22" t="s">
        <v>111</v>
      </c>
      <c r="B184" s="4"/>
      <c r="C184" s="70">
        <f>C164+C175+C177</f>
        <v>0</v>
      </c>
      <c r="F184"/>
    </row>
    <row r="185" spans="1:6" ht="12.75">
      <c r="A185" s="4"/>
      <c r="B185" s="4"/>
      <c r="D185" s="34"/>
      <c r="F185"/>
    </row>
    <row r="186" spans="1:6" ht="12.75">
      <c r="A186" s="22" t="s">
        <v>131</v>
      </c>
      <c r="B186" s="4"/>
      <c r="D186" s="34"/>
      <c r="E186" s="70">
        <f>IF(AND((D166+D179)&gt;C184,C184&gt;0),0,C184-(D166+D179))</f>
        <v>0</v>
      </c>
      <c r="F186"/>
    </row>
    <row r="187" spans="1:4" ht="12.75">
      <c r="A187" s="4" t="s">
        <v>128</v>
      </c>
      <c r="B187" s="4"/>
      <c r="D187" s="34"/>
    </row>
    <row r="188" spans="1:4" ht="12.75">
      <c r="A188" s="4"/>
      <c r="B188" s="4"/>
      <c r="D188" s="34"/>
    </row>
    <row r="189" spans="1:6" ht="12.75">
      <c r="A189" s="22" t="s">
        <v>127</v>
      </c>
      <c r="B189" s="22"/>
      <c r="F189"/>
    </row>
    <row r="190" spans="1:6" ht="12.75">
      <c r="A190" s="4" t="s">
        <v>222</v>
      </c>
      <c r="B190" s="4"/>
      <c r="C190" s="70">
        <f>+Bilag!D117</f>
        <v>0</v>
      </c>
      <c r="D190" s="34"/>
      <c r="F190"/>
    </row>
    <row r="191" spans="1:6" ht="12.75">
      <c r="A191" s="23" t="s">
        <v>223</v>
      </c>
      <c r="B191" s="4"/>
      <c r="C191" s="34"/>
      <c r="D191" s="34"/>
      <c r="F191"/>
    </row>
    <row r="192" spans="1:6" ht="12.75">
      <c r="A192" s="4" t="s">
        <v>132</v>
      </c>
      <c r="B192" s="4"/>
      <c r="C192" s="69">
        <f>B71+B73+B72</f>
        <v>0</v>
      </c>
      <c r="D192"/>
      <c r="F192"/>
    </row>
    <row r="193" spans="1:6" ht="12.75">
      <c r="A193" s="23" t="s">
        <v>90</v>
      </c>
      <c r="B193" s="29"/>
      <c r="C193" s="14"/>
      <c r="D193" s="70">
        <f>C190-C192</f>
        <v>0</v>
      </c>
      <c r="F193"/>
    </row>
    <row r="194" spans="1:4" ht="12.75">
      <c r="A194" s="23"/>
      <c r="B194" s="29"/>
      <c r="C194" s="14"/>
      <c r="D194" s="40"/>
    </row>
    <row r="195" spans="1:5" ht="12.75">
      <c r="A195" s="22" t="s">
        <v>150</v>
      </c>
      <c r="B195" s="4"/>
      <c r="D195" s="81"/>
      <c r="E195" s="70">
        <f>D193</f>
        <v>0</v>
      </c>
    </row>
    <row r="196" spans="1:4" ht="12.75">
      <c r="A196" s="22"/>
      <c r="B196" s="4"/>
      <c r="C196" s="40"/>
      <c r="D196" s="40"/>
    </row>
    <row r="197" spans="1:6" ht="12.75">
      <c r="A197" s="22" t="s">
        <v>120</v>
      </c>
      <c r="B197" s="4"/>
      <c r="C197" s="40"/>
      <c r="D197" s="40"/>
      <c r="F197" s="70">
        <f>E186+E195</f>
        <v>0</v>
      </c>
    </row>
    <row r="198" spans="1:2" ht="12" customHeight="1">
      <c r="A198" s="29"/>
      <c r="B198" s="4"/>
    </row>
    <row r="199" spans="1:6" ht="12" customHeight="1">
      <c r="A199" s="29"/>
      <c r="B199" s="4"/>
      <c r="F199" s="8"/>
    </row>
    <row r="200" spans="1:6" ht="12" customHeight="1">
      <c r="A200" s="29"/>
      <c r="B200" s="4"/>
      <c r="F200" s="3">
        <v>3</v>
      </c>
    </row>
    <row r="201" spans="1:6" ht="17.25">
      <c r="A201" s="110" t="s">
        <v>71</v>
      </c>
      <c r="B201" s="111"/>
      <c r="C201" s="111"/>
      <c r="D201" s="110"/>
      <c r="E201" s="110"/>
      <c r="F201" s="111"/>
    </row>
    <row r="202" ht="12.75">
      <c r="F202" s="38"/>
    </row>
    <row r="203" spans="1:6" ht="12.75">
      <c r="A203" s="22" t="s">
        <v>313</v>
      </c>
      <c r="B203" s="4"/>
      <c r="D203" s="34"/>
      <c r="E203" s="70">
        <f>+IF(B69&gt;0,D180,0)</f>
        <v>0</v>
      </c>
      <c r="F203" s="38"/>
    </row>
    <row r="204" ht="12.75">
      <c r="F204" s="38"/>
    </row>
    <row r="205" spans="1:6" ht="12.75">
      <c r="A205" s="22" t="s">
        <v>98</v>
      </c>
      <c r="B205" s="22"/>
      <c r="F205" s="38"/>
    </row>
    <row r="206" spans="1:6" ht="12.75">
      <c r="A206" s="4" t="s">
        <v>224</v>
      </c>
      <c r="C206" s="70">
        <f>+Bilag!F142</f>
        <v>0</v>
      </c>
      <c r="F206" s="38"/>
    </row>
    <row r="207" spans="1:6" ht="12.75">
      <c r="A207" s="4"/>
      <c r="F207" s="38"/>
    </row>
    <row r="208" spans="1:6" ht="12.75">
      <c r="A208" s="22" t="s">
        <v>93</v>
      </c>
      <c r="B208" s="22"/>
      <c r="C208" s="14"/>
      <c r="D208" s="34"/>
      <c r="F208" s="38"/>
    </row>
    <row r="209" spans="1:6" ht="12.75">
      <c r="A209" s="4" t="s">
        <v>225</v>
      </c>
      <c r="B209" s="4"/>
      <c r="C209" s="70">
        <f>+Bilag!F202</f>
        <v>0</v>
      </c>
      <c r="D209" s="34"/>
      <c r="F209" s="38"/>
    </row>
    <row r="210" spans="1:6" ht="12.75">
      <c r="A210" s="4"/>
      <c r="B210" s="4"/>
      <c r="C210" s="40"/>
      <c r="D210" s="34"/>
      <c r="F210" s="38"/>
    </row>
    <row r="211" spans="1:6" ht="12.75">
      <c r="A211" s="22" t="s">
        <v>119</v>
      </c>
      <c r="B211" s="4"/>
      <c r="C211" s="70">
        <f>+Bilag!C232</f>
        <v>0</v>
      </c>
      <c r="D211" s="34"/>
      <c r="F211" s="38"/>
    </row>
    <row r="212" spans="1:6" ht="12.75">
      <c r="A212" s="4"/>
      <c r="B212" s="4"/>
      <c r="D212" s="34"/>
      <c r="F212" s="38"/>
    </row>
    <row r="213" spans="1:6" ht="12.75">
      <c r="A213" s="22" t="s">
        <v>115</v>
      </c>
      <c r="B213" s="4"/>
      <c r="D213" s="70">
        <f>C206+C209+C211</f>
        <v>0</v>
      </c>
      <c r="F213" s="38"/>
    </row>
    <row r="214" spans="1:6" ht="12.75">
      <c r="A214" s="4"/>
      <c r="F214" s="38"/>
    </row>
    <row r="215" spans="1:6" ht="12.75">
      <c r="A215" s="22" t="s">
        <v>161</v>
      </c>
      <c r="D215" s="70">
        <f>+IF(E203&gt;0,IF(E203&gt;D213,D213,E203),0)</f>
        <v>0</v>
      </c>
      <c r="F215" s="37"/>
    </row>
    <row r="216" spans="1:6" ht="12.75">
      <c r="A216" s="22" t="s">
        <v>114</v>
      </c>
      <c r="D216" s="70">
        <f>IF(E203=0,0,E203-D215)</f>
        <v>0</v>
      </c>
      <c r="F216" s="37"/>
    </row>
    <row r="217" spans="1:4" ht="12.75">
      <c r="A217" s="4"/>
      <c r="B217" s="4"/>
      <c r="D217" s="34"/>
    </row>
    <row r="218" spans="1:5" ht="12.75">
      <c r="A218" s="22" t="s">
        <v>134</v>
      </c>
      <c r="B218" s="4"/>
      <c r="D218" s="34"/>
      <c r="E218" s="69">
        <f>IF(AND(D215&gt;D213,D213&gt;0),0,D213-D215)</f>
        <v>0</v>
      </c>
    </row>
    <row r="219" spans="1:5" ht="12.75">
      <c r="A219" s="4" t="s">
        <v>128</v>
      </c>
      <c r="B219" s="4"/>
      <c r="D219" s="34"/>
      <c r="E219"/>
    </row>
    <row r="220" spans="1:4" ht="12.75">
      <c r="A220" s="4"/>
      <c r="B220" s="4"/>
      <c r="D220" s="34"/>
    </row>
    <row r="221" spans="1:6" ht="12.75">
      <c r="A221" s="22" t="s">
        <v>166</v>
      </c>
      <c r="B221" s="22"/>
      <c r="F221"/>
    </row>
    <row r="222" spans="1:6" ht="12.75">
      <c r="A222" s="4" t="s">
        <v>226</v>
      </c>
      <c r="B222" s="4"/>
      <c r="C222" s="70">
        <f>+Bilag!C216</f>
        <v>0</v>
      </c>
      <c r="D222" s="34"/>
      <c r="E222" s="37"/>
      <c r="F222"/>
    </row>
    <row r="223" spans="1:6" ht="12.75">
      <c r="A223" s="23" t="s">
        <v>227</v>
      </c>
      <c r="B223" s="4"/>
      <c r="C223" s="34"/>
      <c r="D223" s="34"/>
      <c r="E223" s="37"/>
      <c r="F223"/>
    </row>
    <row r="224" spans="1:6" ht="12.75">
      <c r="A224" s="4" t="s">
        <v>135</v>
      </c>
      <c r="B224" s="4"/>
      <c r="C224" s="70">
        <f>B74</f>
        <v>0</v>
      </c>
      <c r="F224"/>
    </row>
    <row r="225" spans="1:6" ht="12.75">
      <c r="A225" s="23" t="s">
        <v>90</v>
      </c>
      <c r="B225" s="29"/>
      <c r="C225" s="14"/>
      <c r="E225" s="70">
        <f>C222-C224</f>
        <v>0</v>
      </c>
      <c r="F225"/>
    </row>
    <row r="226" spans="1:6" ht="12.75">
      <c r="A226" s="23"/>
      <c r="B226" s="29"/>
      <c r="C226" s="14"/>
      <c r="F226"/>
    </row>
    <row r="227" spans="1:6" ht="12.75">
      <c r="A227" s="22" t="s">
        <v>162</v>
      </c>
      <c r="D227" s="81"/>
      <c r="E227" s="73">
        <f>+Bilag!D232</f>
        <v>0</v>
      </c>
      <c r="F227"/>
    </row>
    <row r="228" spans="1:4" ht="12.75">
      <c r="A228" s="22"/>
      <c r="C228" s="78"/>
      <c r="D228" s="35"/>
    </row>
    <row r="229" spans="1:6" ht="12.75">
      <c r="A229" s="22" t="s">
        <v>121</v>
      </c>
      <c r="B229" s="4"/>
      <c r="C229" s="40"/>
      <c r="D229" s="40"/>
      <c r="F229" s="70">
        <f>E218+E225+E227</f>
        <v>0</v>
      </c>
    </row>
    <row r="230" spans="1:6" ht="13.5">
      <c r="A230" s="4"/>
      <c r="B230" s="4"/>
      <c r="D230" s="34"/>
      <c r="F230" s="8"/>
    </row>
    <row r="231" spans="1:6" ht="17.25">
      <c r="A231" s="107" t="s">
        <v>147</v>
      </c>
      <c r="B231" s="106"/>
      <c r="C231" s="106"/>
      <c r="D231" s="107"/>
      <c r="E231" s="107"/>
      <c r="F231" s="106"/>
    </row>
    <row r="232" spans="1:4" ht="12.75">
      <c r="A232" s="4"/>
      <c r="C232" s="15"/>
      <c r="D232" s="34"/>
    </row>
    <row r="233" spans="1:5" ht="12.75">
      <c r="A233" s="22" t="s">
        <v>106</v>
      </c>
      <c r="E233" s="69">
        <f>B70</f>
        <v>0</v>
      </c>
    </row>
    <row r="234" spans="1:5" ht="12.75">
      <c r="A234" s="66" t="s">
        <v>104</v>
      </c>
      <c r="D234" s="32" t="s">
        <v>109</v>
      </c>
      <c r="E234" s="33"/>
    </row>
    <row r="235" spans="1:5" ht="12.75">
      <c r="A235" s="4" t="s">
        <v>105</v>
      </c>
      <c r="D235" s="32" t="s">
        <v>110</v>
      </c>
      <c r="E235" s="33"/>
    </row>
    <row r="236" spans="1:4" ht="12.75">
      <c r="A236" s="4"/>
      <c r="C236" s="15"/>
      <c r="D236" s="34"/>
    </row>
    <row r="237" spans="1:4" ht="12.75">
      <c r="A237" s="22" t="s">
        <v>136</v>
      </c>
      <c r="D237" s="70">
        <f>+IF(((C241+C244+C246+C248)&gt;(E233)),(E233),IF(AND((C241+C244+C246+C248)&gt;0,(C241+C244+C246+C248)&lt;(E233)),(C241+C244+C246+C248),0))</f>
        <v>0</v>
      </c>
    </row>
    <row r="238" spans="1:4" ht="12.75">
      <c r="A238" s="22" t="s">
        <v>114</v>
      </c>
      <c r="D238" s="70">
        <f>E233-D237</f>
        <v>0</v>
      </c>
    </row>
    <row r="239" spans="1:4" ht="12.75">
      <c r="A239" s="4"/>
      <c r="C239" s="15"/>
      <c r="D239" s="34"/>
    </row>
    <row r="240" spans="1:5" ht="12.75">
      <c r="A240" s="22" t="s">
        <v>129</v>
      </c>
      <c r="B240" s="22"/>
      <c r="D240" s="34"/>
      <c r="E240" s="37"/>
    </row>
    <row r="241" spans="1:4" ht="12.75">
      <c r="A241" s="4" t="s">
        <v>228</v>
      </c>
      <c r="B241" s="22"/>
      <c r="C241" s="70">
        <f>+Bilag!C257</f>
        <v>0</v>
      </c>
      <c r="D241" s="34"/>
    </row>
    <row r="242" spans="1:4" ht="12.75">
      <c r="A242" s="4"/>
      <c r="C242" s="15"/>
      <c r="D242" s="34"/>
    </row>
    <row r="243" spans="1:4" ht="12.75">
      <c r="A243" s="22" t="s">
        <v>137</v>
      </c>
      <c r="B243" s="38"/>
      <c r="C243" s="39"/>
      <c r="D243" s="34"/>
    </row>
    <row r="244" spans="1:4" ht="12.75">
      <c r="A244" s="4" t="s">
        <v>229</v>
      </c>
      <c r="B244" s="22"/>
      <c r="C244" s="69">
        <f>+Bilag!C306</f>
        <v>0</v>
      </c>
      <c r="D244" s="34"/>
    </row>
    <row r="245" spans="1:4" ht="12.75">
      <c r="A245" s="4"/>
      <c r="B245" s="22"/>
      <c r="C245" s="59"/>
      <c r="D245" s="34"/>
    </row>
    <row r="246" spans="1:4" ht="12.75">
      <c r="A246" s="22" t="s">
        <v>139</v>
      </c>
      <c r="B246" s="22"/>
      <c r="C246" s="73">
        <f>+Bilag!C327</f>
        <v>0</v>
      </c>
      <c r="D246" s="34"/>
    </row>
    <row r="247" spans="1:4" ht="12.75">
      <c r="A247" s="22"/>
      <c r="B247" s="22"/>
      <c r="C247"/>
      <c r="D247" s="34"/>
    </row>
    <row r="248" spans="1:6" ht="12.75">
      <c r="A248" s="22" t="s">
        <v>230</v>
      </c>
      <c r="B248" s="22"/>
      <c r="C248" s="69">
        <f>+Bilag!C344</f>
        <v>0</v>
      </c>
      <c r="D248" s="34"/>
      <c r="F248"/>
    </row>
    <row r="249" spans="1:6" ht="12.75">
      <c r="A249" s="38"/>
      <c r="B249" s="22"/>
      <c r="C249" s="78"/>
      <c r="D249" s="34"/>
      <c r="F249"/>
    </row>
    <row r="250" spans="1:6" ht="12.75">
      <c r="A250" s="22" t="s">
        <v>138</v>
      </c>
      <c r="B250" s="22"/>
      <c r="D250" s="73">
        <f>C241+C244+C246+C248</f>
        <v>0</v>
      </c>
      <c r="F250"/>
    </row>
    <row r="251" spans="1:6" ht="12.75">
      <c r="A251" s="4"/>
      <c r="B251" s="22"/>
      <c r="D251" s="34"/>
      <c r="F251"/>
    </row>
    <row r="252" spans="1:6" ht="12.75">
      <c r="A252" s="22" t="s">
        <v>140</v>
      </c>
      <c r="B252" s="4"/>
      <c r="D252" s="34"/>
      <c r="E252" s="69">
        <f>IF(AND(D237&gt;D250,D250&gt;0),0,D250-D237)</f>
        <v>0</v>
      </c>
      <c r="F252"/>
    </row>
    <row r="253" spans="1:6" ht="12.75">
      <c r="A253" s="4" t="s">
        <v>128</v>
      </c>
      <c r="B253" s="4"/>
      <c r="D253" s="34"/>
      <c r="E253"/>
      <c r="F253"/>
    </row>
    <row r="254" spans="1:6" ht="12.75">
      <c r="A254" s="4"/>
      <c r="B254" s="22"/>
      <c r="D254" s="34"/>
      <c r="F254"/>
    </row>
    <row r="255" spans="1:6" ht="12.75">
      <c r="A255" s="22" t="s">
        <v>167</v>
      </c>
      <c r="B255" s="22"/>
      <c r="F255"/>
    </row>
    <row r="256" spans="1:6" ht="12.75">
      <c r="A256" s="4" t="s">
        <v>231</v>
      </c>
      <c r="B256" s="4"/>
      <c r="C256" s="70">
        <f>+Bilag!C312</f>
        <v>0</v>
      </c>
      <c r="D256" s="34"/>
      <c r="F256"/>
    </row>
    <row r="257" spans="1:6" ht="12.75">
      <c r="A257" s="23" t="s">
        <v>232</v>
      </c>
      <c r="B257" s="4"/>
      <c r="C257" s="34"/>
      <c r="D257" s="34"/>
      <c r="F257"/>
    </row>
    <row r="258" spans="1:6" ht="12.75">
      <c r="A258" s="4" t="s">
        <v>165</v>
      </c>
      <c r="B258" s="4"/>
      <c r="C258" s="70">
        <f>B75</f>
        <v>0</v>
      </c>
      <c r="F258"/>
    </row>
    <row r="259" spans="1:6" ht="12.75">
      <c r="A259" s="23" t="s">
        <v>90</v>
      </c>
      <c r="B259" s="29"/>
      <c r="C259" s="14"/>
      <c r="E259" s="70">
        <f>C256-C258</f>
        <v>0</v>
      </c>
      <c r="F259"/>
    </row>
    <row r="260" spans="1:6" ht="12.75">
      <c r="A260" s="23"/>
      <c r="B260" s="29"/>
      <c r="C260" s="14"/>
      <c r="E260"/>
      <c r="F260"/>
    </row>
    <row r="261" spans="1:6" ht="12.75">
      <c r="A261" s="22" t="s">
        <v>176</v>
      </c>
      <c r="B261" s="22"/>
      <c r="E261"/>
      <c r="F261"/>
    </row>
    <row r="262" spans="1:6" ht="12.75">
      <c r="A262" s="4" t="s">
        <v>228</v>
      </c>
      <c r="B262" s="22"/>
      <c r="C262" s="70">
        <f>+Bilag!D257</f>
        <v>0</v>
      </c>
      <c r="E262"/>
      <c r="F262"/>
    </row>
    <row r="263" spans="1:6" ht="12.75">
      <c r="A263" s="4"/>
      <c r="C263" s="15"/>
      <c r="E263"/>
      <c r="F263"/>
    </row>
    <row r="264" spans="1:6" ht="12.75">
      <c r="A264" s="22" t="s">
        <v>177</v>
      </c>
      <c r="B264" s="38"/>
      <c r="C264" s="39"/>
      <c r="E264"/>
      <c r="F264"/>
    </row>
    <row r="265" spans="1:6" ht="12.75">
      <c r="A265" s="4" t="s">
        <v>229</v>
      </c>
      <c r="B265" s="22"/>
      <c r="C265" s="69">
        <f>+Bilag!D306</f>
        <v>0</v>
      </c>
      <c r="E265"/>
      <c r="F265"/>
    </row>
    <row r="266" spans="1:6" ht="12.75">
      <c r="A266" s="23"/>
      <c r="B266" s="29"/>
      <c r="C266" s="14"/>
      <c r="F266"/>
    </row>
    <row r="267" spans="1:6" ht="12.75">
      <c r="A267" s="22" t="s">
        <v>168</v>
      </c>
      <c r="B267" s="29"/>
      <c r="C267" s="14"/>
      <c r="F267"/>
    </row>
    <row r="268" spans="1:6" ht="12.75">
      <c r="A268" s="4" t="s">
        <v>229</v>
      </c>
      <c r="C268" s="73">
        <f>+Bilag!D327</f>
        <v>0</v>
      </c>
      <c r="D268" s="81"/>
      <c r="F268"/>
    </row>
    <row r="269" spans="1:6" ht="12.75">
      <c r="A269" s="36"/>
      <c r="F269"/>
    </row>
    <row r="270" spans="1:6" ht="12.75">
      <c r="A270" s="22" t="s">
        <v>175</v>
      </c>
      <c r="F270"/>
    </row>
    <row r="271" spans="1:6" ht="12.75">
      <c r="A271" s="4" t="s">
        <v>229</v>
      </c>
      <c r="C271" s="69">
        <f>+Bilag!D344</f>
        <v>0</v>
      </c>
      <c r="E271"/>
      <c r="F271"/>
    </row>
    <row r="272" spans="1:6" ht="12.75">
      <c r="A272" s="22"/>
      <c r="C272"/>
      <c r="E272"/>
      <c r="F272"/>
    </row>
    <row r="273" spans="1:6" ht="12.75">
      <c r="A273" s="22" t="s">
        <v>138</v>
      </c>
      <c r="B273" s="22"/>
      <c r="E273" s="73">
        <f>C262+C265+C268+C271</f>
        <v>0</v>
      </c>
      <c r="F273"/>
    </row>
    <row r="274" ht="12.75">
      <c r="A274" s="36"/>
    </row>
    <row r="275" spans="1:6" ht="12.75">
      <c r="A275" s="22" t="s">
        <v>141</v>
      </c>
      <c r="B275" s="4"/>
      <c r="C275" s="40"/>
      <c r="D275" s="40"/>
      <c r="F275" s="70">
        <f>E252+E259+E273</f>
        <v>0</v>
      </c>
    </row>
    <row r="276" spans="1:6" ht="12.75">
      <c r="A276" s="22"/>
      <c r="B276" s="4"/>
      <c r="C276" s="40"/>
      <c r="D276" s="40"/>
      <c r="F276"/>
    </row>
    <row r="277" spans="1:6" ht="13.5" thickBot="1">
      <c r="A277" s="84"/>
      <c r="B277" s="85"/>
      <c r="C277" s="86"/>
      <c r="D277" s="87"/>
      <c r="E277" s="86"/>
      <c r="F277" s="86"/>
    </row>
    <row r="278" spans="1:6" ht="18" thickBot="1">
      <c r="A278" s="30" t="s">
        <v>142</v>
      </c>
      <c r="B278" s="31"/>
      <c r="C278" s="31"/>
      <c r="D278" s="31"/>
      <c r="E278" s="31"/>
      <c r="F278" s="118">
        <f>F197+F229+F275</f>
        <v>0</v>
      </c>
    </row>
    <row r="279" spans="1:6" ht="12" customHeight="1">
      <c r="A279" s="29"/>
      <c r="B279" s="4"/>
      <c r="F279" s="8"/>
    </row>
    <row r="280" spans="1:6" ht="12" customHeight="1">
      <c r="A280" s="29"/>
      <c r="B280" s="4"/>
      <c r="F280" s="8"/>
    </row>
    <row r="281" spans="1:6" ht="12" customHeight="1">
      <c r="A281" s="29"/>
      <c r="B281" s="4"/>
      <c r="F281" s="8">
        <v>4</v>
      </c>
    </row>
    <row r="282" spans="1:6" ht="17.25">
      <c r="A282" s="114" t="s">
        <v>54</v>
      </c>
      <c r="B282" s="116"/>
      <c r="C282" s="116"/>
      <c r="D282" s="116"/>
      <c r="E282" s="116"/>
      <c r="F282" s="116"/>
    </row>
    <row r="283" spans="1:2" ht="12.75">
      <c r="A283" s="4" t="s">
        <v>244</v>
      </c>
      <c r="B283" s="22"/>
    </row>
    <row r="284" spans="1:2" ht="12.75">
      <c r="A284" s="4" t="s">
        <v>245</v>
      </c>
      <c r="B284" s="22"/>
    </row>
    <row r="285" spans="1:2" ht="12.75">
      <c r="A285" s="4"/>
      <c r="B285" s="22"/>
    </row>
    <row r="286" spans="1:5" ht="12.75">
      <c r="A286" s="4" t="s">
        <v>233</v>
      </c>
      <c r="B286" s="4"/>
      <c r="C286" s="25"/>
      <c r="D286" s="70">
        <f>+Bilag!C358</f>
        <v>0</v>
      </c>
      <c r="E286" s="17"/>
    </row>
    <row r="287" spans="1:5" ht="12.75">
      <c r="A287" s="4"/>
      <c r="B287" s="4"/>
      <c r="C287" s="25"/>
      <c r="D287" s="44"/>
      <c r="E287" s="17"/>
    </row>
    <row r="288" spans="1:5" ht="12.75">
      <c r="A288" s="22" t="s">
        <v>67</v>
      </c>
      <c r="B288" s="4"/>
      <c r="C288" s="25"/>
      <c r="D288" s="43"/>
      <c r="E288" s="17"/>
    </row>
    <row r="289" spans="1:5" ht="12.75">
      <c r="A289" s="22" t="s">
        <v>68</v>
      </c>
      <c r="B289" s="4"/>
      <c r="C289" s="25"/>
      <c r="D289" s="70">
        <f>D286</f>
        <v>0</v>
      </c>
      <c r="E289" s="17"/>
    </row>
    <row r="290" spans="1:5" ht="13.5" thickBot="1">
      <c r="A290" s="4"/>
      <c r="B290" s="4"/>
      <c r="C290" s="25"/>
      <c r="D290" s="17"/>
      <c r="E290" s="17"/>
    </row>
    <row r="291" spans="1:6" ht="18" thickBot="1">
      <c r="A291" s="30" t="s">
        <v>53</v>
      </c>
      <c r="B291" s="45"/>
      <c r="C291" s="46"/>
      <c r="D291" s="46"/>
      <c r="E291" s="46"/>
      <c r="F291" s="118">
        <f>D286-D289</f>
        <v>0</v>
      </c>
    </row>
    <row r="292" spans="1:2" ht="12" customHeight="1">
      <c r="A292" s="29"/>
      <c r="B292" s="4"/>
    </row>
    <row r="293" spans="1:2" ht="12" customHeight="1">
      <c r="A293" s="29"/>
      <c r="B293" s="4"/>
    </row>
    <row r="294" spans="1:6" ht="12" customHeight="1">
      <c r="A294" s="29"/>
      <c r="B294" s="4"/>
      <c r="F294" s="8"/>
    </row>
    <row r="295" spans="1:6" ht="17.25">
      <c r="A295" s="112" t="s">
        <v>17</v>
      </c>
      <c r="B295" s="117"/>
      <c r="C295" s="117"/>
      <c r="D295" s="117"/>
      <c r="E295" s="117"/>
      <c r="F295" s="117"/>
    </row>
    <row r="296" spans="1:2" ht="12.75">
      <c r="A296" s="4"/>
      <c r="B296" s="25"/>
    </row>
    <row r="297" spans="1:5" ht="12.75">
      <c r="A297" s="22" t="s">
        <v>234</v>
      </c>
      <c r="B297" s="25"/>
      <c r="D297" s="70">
        <f>+Bilag!C374</f>
        <v>0</v>
      </c>
      <c r="E297" s="17"/>
    </row>
    <row r="298" spans="1:2" ht="12.75">
      <c r="A298" s="4"/>
      <c r="B298" s="25"/>
    </row>
    <row r="299" spans="1:4" ht="12.75">
      <c r="A299" s="4" t="s">
        <v>235</v>
      </c>
      <c r="B299" s="4"/>
      <c r="D299" s="70">
        <f>+Bilag!C383</f>
        <v>0</v>
      </c>
    </row>
    <row r="300" spans="1:4" ht="13.5" thickBot="1">
      <c r="A300" s="22"/>
      <c r="B300" s="22"/>
      <c r="D300" s="17"/>
    </row>
    <row r="301" spans="1:6" ht="18" thickBot="1">
      <c r="A301" s="30" t="s">
        <v>14</v>
      </c>
      <c r="B301" s="45"/>
      <c r="C301" s="46"/>
      <c r="D301" s="46"/>
      <c r="E301" s="46"/>
      <c r="F301" s="118">
        <f>D297+D299</f>
        <v>0</v>
      </c>
    </row>
    <row r="302" spans="1:2" ht="12" customHeight="1">
      <c r="A302" s="29"/>
      <c r="B302" s="4"/>
    </row>
    <row r="303" spans="1:2" ht="12" customHeight="1">
      <c r="A303" s="29"/>
      <c r="B303" s="4"/>
    </row>
    <row r="304" spans="1:2" ht="12" customHeight="1">
      <c r="A304" s="29"/>
      <c r="B304" s="4"/>
    </row>
    <row r="305" spans="1:6" ht="17.25">
      <c r="A305" s="108" t="s">
        <v>55</v>
      </c>
      <c r="B305" s="103"/>
      <c r="C305" s="103"/>
      <c r="D305" s="103"/>
      <c r="E305" s="103"/>
      <c r="F305" s="99"/>
    </row>
    <row r="306" spans="1:3" ht="13.5" thickBot="1">
      <c r="A306" s="22"/>
      <c r="B306" s="22"/>
      <c r="C306" s="17"/>
    </row>
    <row r="307" spans="1:6" ht="18" thickBot="1">
      <c r="A307" s="30" t="s">
        <v>236</v>
      </c>
      <c r="B307" s="128"/>
      <c r="C307" s="129"/>
      <c r="D307" s="47"/>
      <c r="E307" s="47"/>
      <c r="F307" s="118">
        <f>+Bilag!C397</f>
        <v>0</v>
      </c>
    </row>
    <row r="308" spans="1:3" ht="12.75">
      <c r="A308" s="22"/>
      <c r="B308" s="22"/>
      <c r="C308" s="17"/>
    </row>
    <row r="309" spans="1:3" ht="12.75">
      <c r="A309" s="22"/>
      <c r="B309" s="22"/>
      <c r="C309" s="17"/>
    </row>
    <row r="310" ht="13.5" thickBot="1"/>
    <row r="311" spans="1:6" ht="21" thickBot="1">
      <c r="A311" s="48" t="s">
        <v>204</v>
      </c>
      <c r="B311" s="49"/>
      <c r="C311" s="128"/>
      <c r="D311" s="50"/>
      <c r="E311" s="91"/>
      <c r="F311" s="118">
        <f>(F150+F278+F291)-(F301+F307)</f>
        <v>0</v>
      </c>
    </row>
  </sheetData>
  <sheetProtection/>
  <mergeCells count="3">
    <mergeCell ref="A2:F2"/>
    <mergeCell ref="A3:F3"/>
    <mergeCell ref="A5:F5"/>
  </mergeCells>
  <printOptions/>
  <pageMargins left="0.7874015748031497" right="0.5905511811023623" top="0.3937007874015748" bottom="0.3937007874015748" header="0" footer="0"/>
  <pageSetup horizontalDpi="600" verticalDpi="600" orientation="portrait" paperSize="9" scale="78" r:id="rId2"/>
  <rowBreaks count="4" manualBreakCount="4">
    <brk id="57" max="255" man="1"/>
    <brk id="135" max="255" man="1"/>
    <brk id="198" max="255" man="1"/>
    <brk id="27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R397"/>
  <sheetViews>
    <sheetView view="pageBreakPreview" zoomScaleSheetLayoutView="100" workbookViewId="0" topLeftCell="A1">
      <selection activeCell="B1" sqref="B1"/>
    </sheetView>
  </sheetViews>
  <sheetFormatPr defaultColWidth="11.421875" defaultRowHeight="12.75"/>
  <cols>
    <col min="1" max="1" width="27.28125" style="3" customWidth="1"/>
    <col min="2" max="2" width="19.7109375" style="3" customWidth="1"/>
    <col min="3" max="5" width="13.7109375" style="3" customWidth="1"/>
    <col min="6" max="6" width="12.28125" style="3" customWidth="1"/>
    <col min="7" max="8" width="11.421875" style="135" customWidth="1"/>
    <col min="9" max="9" width="14.00390625" style="135" bestFit="1" customWidth="1"/>
    <col min="10" max="10" width="11.421875" style="135" customWidth="1"/>
    <col min="11" max="11" width="11.140625" style="135" bestFit="1" customWidth="1"/>
    <col min="12" max="12" width="12.140625" style="135" bestFit="1" customWidth="1"/>
    <col min="13" max="16" width="11.421875" style="135" customWidth="1"/>
    <col min="17" max="17" width="13.8515625" style="136" bestFit="1" customWidth="1"/>
    <col min="18" max="16384" width="11.421875" style="136" customWidth="1"/>
  </cols>
  <sheetData>
    <row r="1" ht="12.75">
      <c r="F1" s="3">
        <v>5</v>
      </c>
    </row>
    <row r="2" spans="1:6" ht="21">
      <c r="A2" s="183" t="s">
        <v>33</v>
      </c>
      <c r="B2" s="183"/>
      <c r="C2" s="183"/>
      <c r="D2" s="183"/>
      <c r="E2" s="183"/>
      <c r="F2" s="183"/>
    </row>
    <row r="3" spans="1:4" ht="12.75">
      <c r="A3" s="4"/>
      <c r="B3" s="4"/>
      <c r="C3" s="4"/>
      <c r="D3" s="4"/>
    </row>
    <row r="4" spans="1:6" ht="17.25">
      <c r="A4" s="120" t="s">
        <v>46</v>
      </c>
      <c r="B4" s="122"/>
      <c r="C4" s="122"/>
      <c r="D4" s="122"/>
      <c r="E4" s="122"/>
      <c r="F4" s="119"/>
    </row>
    <row r="5" ht="12.75">
      <c r="A5" s="51" t="s">
        <v>246</v>
      </c>
    </row>
    <row r="6" ht="12.75">
      <c r="A6" s="51" t="s">
        <v>247</v>
      </c>
    </row>
    <row r="7" ht="12.75">
      <c r="A7" s="52"/>
    </row>
    <row r="8" spans="1:3" ht="12.75">
      <c r="A8" s="22" t="s">
        <v>79</v>
      </c>
      <c r="B8" s="15"/>
      <c r="C8" s="74"/>
    </row>
    <row r="9" spans="1:2" ht="12.75">
      <c r="A9" s="130" t="s">
        <v>205</v>
      </c>
      <c r="B9" s="15"/>
    </row>
    <row r="10" spans="1:3" ht="12.75">
      <c r="A10" s="22" t="s">
        <v>80</v>
      </c>
      <c r="B10" s="15"/>
      <c r="C10" s="74"/>
    </row>
    <row r="11" spans="1:4" ht="12.75">
      <c r="A11" s="130" t="s">
        <v>205</v>
      </c>
      <c r="B11" s="4"/>
      <c r="C11" s="4"/>
      <c r="D11" s="4"/>
    </row>
    <row r="12" spans="1:4" ht="12.75">
      <c r="A12" s="22"/>
      <c r="C12" s="53"/>
      <c r="D12" s="54"/>
    </row>
    <row r="13" spans="1:4" ht="12.75">
      <c r="A13" s="22"/>
      <c r="C13" s="53"/>
      <c r="D13" s="54"/>
    </row>
    <row r="14" spans="1:6" ht="17.25">
      <c r="A14" s="109" t="s">
        <v>16</v>
      </c>
      <c r="B14" s="125"/>
      <c r="C14" s="125"/>
      <c r="D14" s="125"/>
      <c r="E14" s="125"/>
      <c r="F14" s="109"/>
    </row>
    <row r="15" ht="12.75">
      <c r="A15" s="22"/>
    </row>
    <row r="16" spans="1:4" ht="15">
      <c r="A16" s="100" t="s">
        <v>18</v>
      </c>
      <c r="B16" s="101"/>
      <c r="C16" s="41"/>
      <c r="D16" s="41"/>
    </row>
    <row r="17" spans="1:4" ht="12.75">
      <c r="A17" s="51" t="s">
        <v>180</v>
      </c>
      <c r="B17" s="29"/>
      <c r="D17" s="17"/>
    </row>
    <row r="18" spans="1:4" ht="12.75">
      <c r="A18" s="51" t="s">
        <v>181</v>
      </c>
      <c r="B18" s="29"/>
      <c r="D18" s="17"/>
    </row>
    <row r="19" spans="1:4" ht="12.75">
      <c r="A19" s="51" t="s">
        <v>300</v>
      </c>
      <c r="B19" s="29"/>
      <c r="D19" s="17"/>
    </row>
    <row r="20" ht="12.75">
      <c r="A20" s="51" t="s">
        <v>182</v>
      </c>
    </row>
    <row r="21" spans="1:12" ht="12.75">
      <c r="A21" s="51" t="s">
        <v>183</v>
      </c>
      <c r="D21" s="55"/>
      <c r="I21" s="137"/>
      <c r="K21" s="138"/>
      <c r="L21" s="139"/>
    </row>
    <row r="22" ht="12.75">
      <c r="A22" s="51" t="s">
        <v>265</v>
      </c>
    </row>
    <row r="23" spans="1:12" ht="12.75">
      <c r="A23" s="51" t="s">
        <v>184</v>
      </c>
      <c r="L23" s="140"/>
    </row>
    <row r="24" spans="1:12" ht="12.75">
      <c r="A24" s="79" t="s">
        <v>185</v>
      </c>
      <c r="L24" s="140"/>
    </row>
    <row r="25" spans="1:11" ht="12.75">
      <c r="A25" s="51" t="s">
        <v>84</v>
      </c>
      <c r="B25" s="61"/>
      <c r="C25" s="61"/>
      <c r="D25" s="61"/>
      <c r="E25" s="61"/>
      <c r="F25" s="42"/>
      <c r="I25" s="141"/>
      <c r="K25" s="141"/>
    </row>
    <row r="26" spans="1:13" ht="12.75">
      <c r="A26" s="51"/>
      <c r="H26" s="141"/>
      <c r="J26" s="143"/>
      <c r="L26" s="141"/>
      <c r="M26" s="143"/>
    </row>
    <row r="27" spans="1:13" ht="12.75">
      <c r="A27" s="52"/>
      <c r="B27" s="37"/>
      <c r="C27" s="53" t="s">
        <v>178</v>
      </c>
      <c r="F27" s="75">
        <f>Indtægtsopgørelse!E155/0.7*1</f>
        <v>0</v>
      </c>
      <c r="G27" s="141"/>
      <c r="H27" s="141"/>
      <c r="J27" s="143"/>
      <c r="L27" s="141"/>
      <c r="M27" s="143"/>
    </row>
    <row r="28" spans="1:13" ht="12.75">
      <c r="A28" s="22" t="s">
        <v>44</v>
      </c>
      <c r="B28" s="68"/>
      <c r="C28" s="53" t="s">
        <v>169</v>
      </c>
      <c r="E28" s="17"/>
      <c r="F28" s="154">
        <f>IF(AND(B36&gt;F30,B34&lt;F27),B36/B28,0.3)</f>
        <v>0.3</v>
      </c>
      <c r="G28" s="144"/>
      <c r="H28" s="141"/>
      <c r="L28" s="141"/>
      <c r="M28" s="143"/>
    </row>
    <row r="29" spans="1:18" ht="12.75">
      <c r="A29" s="22" t="s">
        <v>266</v>
      </c>
      <c r="B29" s="74"/>
      <c r="C29" s="53" t="s">
        <v>170</v>
      </c>
      <c r="E29" s="17"/>
      <c r="F29" s="154">
        <f>IF(AND(B36&gt;F30,B34&gt;F27),(B36/(B34-F27)),0)</f>
        <v>0</v>
      </c>
      <c r="L29" s="141"/>
      <c r="M29" s="142"/>
      <c r="Q29" s="135"/>
      <c r="R29" s="135"/>
    </row>
    <row r="30" spans="1:18" ht="12.75">
      <c r="A30" s="13" t="s">
        <v>248</v>
      </c>
      <c r="B30" s="68"/>
      <c r="C30" s="17" t="s">
        <v>91</v>
      </c>
      <c r="E30" s="17"/>
      <c r="F30" s="75">
        <f>+IF((Indtægtsopgørelse!B66+Indtægtsopgørelse!B68+Indtægtsopgørelse!B69)&gt;0,150000,0)</f>
        <v>0</v>
      </c>
      <c r="M30" s="143"/>
      <c r="N30" s="140"/>
      <c r="Q30" s="135"/>
      <c r="R30" s="135"/>
    </row>
    <row r="31" spans="1:18" ht="12.75">
      <c r="A31" s="4" t="s">
        <v>39</v>
      </c>
      <c r="B31" s="68"/>
      <c r="C31" s="65"/>
      <c r="D31"/>
      <c r="E31"/>
      <c r="F31"/>
      <c r="H31" s="145"/>
      <c r="I31" s="145"/>
      <c r="J31" s="146"/>
      <c r="M31" s="147"/>
      <c r="Q31" s="135"/>
      <c r="R31" s="135"/>
    </row>
    <row r="32" spans="1:18" ht="12.75">
      <c r="A32" s="4" t="s">
        <v>45</v>
      </c>
      <c r="B32" s="68"/>
      <c r="C32" s="41"/>
      <c r="E32"/>
      <c r="F32"/>
      <c r="M32" s="143"/>
      <c r="R32" s="148"/>
    </row>
    <row r="33" spans="1:13" ht="12.75">
      <c r="A33" s="4"/>
      <c r="D33"/>
      <c r="E33"/>
      <c r="L33" s="141"/>
      <c r="M33" s="143"/>
    </row>
    <row r="34" spans="1:13" ht="12.75">
      <c r="A34" s="22" t="s">
        <v>94</v>
      </c>
      <c r="B34" s="69">
        <f>B28+B29-B30-B31-B32</f>
        <v>0</v>
      </c>
      <c r="D34"/>
      <c r="F34"/>
      <c r="I34" s="142"/>
      <c r="M34" s="143"/>
    </row>
    <row r="35" spans="1:13" ht="12.75">
      <c r="A35" s="22"/>
      <c r="B35"/>
      <c r="C35" s="65"/>
      <c r="E35"/>
      <c r="F35" s="133"/>
      <c r="L35" s="141"/>
      <c r="M35" s="143"/>
    </row>
    <row r="36" spans="1:13" ht="12.75">
      <c r="A36" s="53" t="s">
        <v>171</v>
      </c>
      <c r="B36" s="68">
        <f>IF(B34=0,0,IF(B34&lt;=F30,B34,F30))</f>
        <v>0</v>
      </c>
      <c r="C36" s="134"/>
      <c r="E36"/>
      <c r="F36" s="90"/>
      <c r="G36" s="149"/>
      <c r="L36" s="141"/>
      <c r="M36" s="142"/>
    </row>
    <row r="37" spans="4:6" ht="12.75">
      <c r="D37"/>
      <c r="E37"/>
      <c r="F37" s="90"/>
    </row>
    <row r="38" spans="1:6" ht="12.75">
      <c r="A38" s="4" t="s">
        <v>95</v>
      </c>
      <c r="B38" s="69">
        <f>IF(B34=0,0,IF(B34&lt;=F30,B34,F30))</f>
        <v>0</v>
      </c>
      <c r="C38" s="4"/>
      <c r="D38"/>
      <c r="E38"/>
      <c r="F38"/>
    </row>
    <row r="39" spans="4:6" ht="12.75">
      <c r="D39"/>
      <c r="E39"/>
      <c r="F39"/>
    </row>
    <row r="40" spans="1:8" ht="12.75">
      <c r="A40" s="4" t="s">
        <v>96</v>
      </c>
      <c r="B40" s="69">
        <f>IF(B38=0,B36,IF(B38=F30,B36-F30,0))</f>
        <v>0</v>
      </c>
      <c r="C40"/>
      <c r="D40"/>
      <c r="E40"/>
      <c r="F40"/>
      <c r="H40" s="138"/>
    </row>
    <row r="41" spans="3:13" ht="12.75">
      <c r="C41" s="57"/>
      <c r="D41"/>
      <c r="E41"/>
      <c r="F41"/>
      <c r="I41" s="138"/>
      <c r="J41" s="138"/>
      <c r="M41" s="142"/>
    </row>
    <row r="42" spans="1:12" ht="12.75">
      <c r="A42" s="22" t="s">
        <v>206</v>
      </c>
      <c r="E42" s="58"/>
      <c r="F42" s="69">
        <f>B34-B38-B40</f>
        <v>0</v>
      </c>
      <c r="I42" s="138"/>
      <c r="J42" s="138"/>
      <c r="K42" s="141"/>
      <c r="L42" s="142"/>
    </row>
    <row r="43" spans="1:13" ht="12.75">
      <c r="A43" s="22"/>
      <c r="C43" s="57"/>
      <c r="D43" s="54"/>
      <c r="F43" s="56"/>
      <c r="I43" s="138"/>
      <c r="J43" s="138"/>
      <c r="K43" s="141"/>
      <c r="L43" s="142"/>
      <c r="M43" s="150"/>
    </row>
    <row r="44" spans="1:12" ht="12.75">
      <c r="A44" s="22"/>
      <c r="C44" s="57"/>
      <c r="D44" s="54"/>
      <c r="F44" s="56"/>
      <c r="I44" s="138"/>
      <c r="J44" s="138"/>
      <c r="K44" s="141"/>
      <c r="L44" s="142"/>
    </row>
    <row r="45" spans="1:12" ht="15">
      <c r="A45" s="100" t="s">
        <v>82</v>
      </c>
      <c r="B45" s="101"/>
      <c r="C45" s="17"/>
      <c r="I45" s="143"/>
      <c r="J45" s="151"/>
      <c r="L45" s="142"/>
    </row>
    <row r="46" spans="1:12" ht="12.75">
      <c r="A46" s="51" t="s">
        <v>250</v>
      </c>
      <c r="B46" s="5"/>
      <c r="I46" s="143"/>
      <c r="J46" s="151"/>
      <c r="L46" s="142"/>
    </row>
    <row r="47" spans="1:13" ht="12.75">
      <c r="A47" s="51" t="s">
        <v>249</v>
      </c>
      <c r="F47" s="14"/>
      <c r="H47" s="141"/>
      <c r="I47" s="143"/>
      <c r="J47" s="151"/>
      <c r="L47" s="142"/>
      <c r="M47" s="141"/>
    </row>
    <row r="48" spans="1:13" ht="12.75">
      <c r="A48" s="51" t="s">
        <v>81</v>
      </c>
      <c r="H48" s="141"/>
      <c r="I48" s="143"/>
      <c r="J48" s="151"/>
      <c r="L48" s="152"/>
      <c r="M48" s="141"/>
    </row>
    <row r="49" spans="1:13" ht="12.75">
      <c r="A49" s="51" t="s">
        <v>267</v>
      </c>
      <c r="H49" s="141"/>
      <c r="I49" s="142"/>
      <c r="J49" s="147"/>
      <c r="L49" s="152"/>
      <c r="M49" s="141"/>
    </row>
    <row r="50" spans="1:14" ht="12.75">
      <c r="A50" s="51" t="s">
        <v>251</v>
      </c>
      <c r="H50" s="141"/>
      <c r="I50" s="142"/>
      <c r="J50" s="147"/>
      <c r="L50" s="152"/>
      <c r="N50" s="141"/>
    </row>
    <row r="51" spans="1:12" ht="12.75">
      <c r="A51" s="51" t="s">
        <v>252</v>
      </c>
      <c r="I51" s="143"/>
      <c r="J51" s="138"/>
      <c r="L51" s="142"/>
    </row>
    <row r="52" spans="1:12" ht="12.75">
      <c r="A52" s="51" t="s">
        <v>84</v>
      </c>
      <c r="H52" s="141"/>
      <c r="I52" s="143"/>
      <c r="J52" s="138"/>
      <c r="L52" s="142"/>
    </row>
    <row r="53" spans="1:12" ht="12.75">
      <c r="A53" s="52"/>
      <c r="I53" s="143"/>
      <c r="J53" s="138"/>
      <c r="L53" s="142"/>
    </row>
    <row r="54" spans="1:10" ht="12.75">
      <c r="A54" s="124" t="s">
        <v>87</v>
      </c>
      <c r="B54" s="101"/>
      <c r="C54" s="41"/>
      <c r="D54" s="41"/>
      <c r="I54" s="138"/>
      <c r="J54" s="138"/>
    </row>
    <row r="55" spans="1:10" ht="12.75">
      <c r="A55" s="52"/>
      <c r="I55" s="138"/>
      <c r="J55" s="138"/>
    </row>
    <row r="56" spans="1:10" ht="12.75">
      <c r="A56" s="22" t="s">
        <v>186</v>
      </c>
      <c r="F56" s="163">
        <f>Indtægtsopgørelse!E156/0.7</f>
        <v>0</v>
      </c>
      <c r="I56" s="138"/>
      <c r="J56" s="138"/>
    </row>
    <row r="57" spans="1:10" ht="12.75">
      <c r="A57" s="22" t="s">
        <v>187</v>
      </c>
      <c r="B57" s="68"/>
      <c r="C57" s="53" t="s">
        <v>178</v>
      </c>
      <c r="F57" s="75">
        <f>+F27</f>
        <v>0</v>
      </c>
      <c r="I57" s="138"/>
      <c r="J57" s="138"/>
    </row>
    <row r="58" spans="1:10" ht="12.75">
      <c r="A58" s="4" t="s">
        <v>39</v>
      </c>
      <c r="B58" s="68"/>
      <c r="C58" s="53" t="s">
        <v>169</v>
      </c>
      <c r="D58" s="17"/>
      <c r="F58" s="154">
        <f>_xlfn.IFERROR(ROUND((IF(B62&lt;(F56),B64/B62,IF(AND(B62&gt;(F56),(B64&gt;((F56)*0.3))),0.3,B64/B62))),2),0)</f>
        <v>0</v>
      </c>
      <c r="I58" s="138"/>
      <c r="J58" s="138"/>
    </row>
    <row r="59" spans="1:10" ht="12.75">
      <c r="A59" s="4" t="s">
        <v>40</v>
      </c>
      <c r="B59" s="68"/>
      <c r="C59" s="53" t="s">
        <v>170</v>
      </c>
      <c r="D59" s="17"/>
      <c r="F59" s="155">
        <f>_xlfn.IFERROR(ROUND((IF(AND(B62&gt;(F56),(B64&gt;((F56)*0.3))),(B64-((F56)*0.3))/(B62-((F56))),0)),2),0)</f>
        <v>0</v>
      </c>
      <c r="I59" s="138"/>
      <c r="J59" s="138"/>
    </row>
    <row r="60" spans="1:10" ht="12.75">
      <c r="A60" s="22" t="s">
        <v>266</v>
      </c>
      <c r="B60" s="68"/>
      <c r="I60" s="138"/>
      <c r="J60" s="138"/>
    </row>
    <row r="61" spans="1:10" ht="12.75">
      <c r="A61" s="4"/>
      <c r="B61"/>
      <c r="I61" s="138"/>
      <c r="J61" s="138"/>
    </row>
    <row r="62" spans="1:10" ht="12.75">
      <c r="A62" s="22" t="s">
        <v>174</v>
      </c>
      <c r="B62" s="70">
        <f>B57+B60-B58-B59</f>
        <v>0</v>
      </c>
      <c r="I62" s="138"/>
      <c r="J62" s="138"/>
    </row>
    <row r="63" spans="1:10" ht="12.75">
      <c r="A63" s="4"/>
      <c r="B63"/>
      <c r="I63" s="138"/>
      <c r="J63" s="138"/>
    </row>
    <row r="64" spans="1:10" ht="12.75">
      <c r="A64" s="53" t="s">
        <v>171</v>
      </c>
      <c r="B64" s="68"/>
      <c r="D64" s="37"/>
      <c r="I64" s="138"/>
      <c r="J64" s="138"/>
    </row>
    <row r="65" spans="1:10" ht="12.75">
      <c r="A65" s="53"/>
      <c r="C65"/>
      <c r="D65" s="4"/>
      <c r="I65" s="138"/>
      <c r="J65" s="138"/>
    </row>
    <row r="66" spans="1:10" ht="12.75">
      <c r="A66" s="22" t="s">
        <v>200</v>
      </c>
      <c r="C66" s="70">
        <f>B62-B64</f>
        <v>0</v>
      </c>
      <c r="I66" s="138"/>
      <c r="J66" s="138"/>
    </row>
    <row r="67" spans="1:10" ht="12.75">
      <c r="A67" s="22"/>
      <c r="I67" s="138"/>
      <c r="J67" s="138"/>
    </row>
    <row r="68" spans="1:10" ht="13.5">
      <c r="A68" s="22"/>
      <c r="B68" s="15"/>
      <c r="F68" s="8"/>
      <c r="I68" s="138"/>
      <c r="J68" s="138"/>
    </row>
    <row r="69" spans="1:10" ht="13.5">
      <c r="A69" s="22"/>
      <c r="B69" s="15"/>
      <c r="F69" s="8">
        <v>6</v>
      </c>
      <c r="I69" s="138"/>
      <c r="J69" s="138"/>
    </row>
    <row r="70" spans="1:10" ht="12.75">
      <c r="A70" s="124" t="s">
        <v>88</v>
      </c>
      <c r="B70" s="101"/>
      <c r="C70" s="41"/>
      <c r="D70" s="41"/>
      <c r="I70" s="138"/>
      <c r="J70" s="138"/>
    </row>
    <row r="71" spans="1:10" ht="12.75">
      <c r="A71" s="42"/>
      <c r="B71" s="41"/>
      <c r="C71" s="41"/>
      <c r="D71" s="41"/>
      <c r="I71" s="138"/>
      <c r="J71" s="138"/>
    </row>
    <row r="72" spans="1:10" ht="12.75">
      <c r="A72" s="22" t="s">
        <v>189</v>
      </c>
      <c r="B72" s="17"/>
      <c r="F72" s="163">
        <f>+Indtægtsopgørelse!E157/0.7</f>
        <v>0</v>
      </c>
      <c r="I72" s="138"/>
      <c r="J72" s="138"/>
    </row>
    <row r="73" spans="1:10" ht="12.75">
      <c r="A73" s="22" t="s">
        <v>188</v>
      </c>
      <c r="B73" s="68"/>
      <c r="C73" s="53" t="s">
        <v>178</v>
      </c>
      <c r="F73" s="75">
        <f>+F57</f>
        <v>0</v>
      </c>
      <c r="I73" s="138"/>
      <c r="J73" s="138"/>
    </row>
    <row r="74" spans="1:10" ht="12.75">
      <c r="A74" s="4" t="s">
        <v>39</v>
      </c>
      <c r="B74" s="68"/>
      <c r="C74" s="53" t="s">
        <v>169</v>
      </c>
      <c r="D74" s="17"/>
      <c r="F74" s="154">
        <f>_xlfn.IFERROR(ROUND((IF(B79&lt;(F72),B81/B79,IF(AND(B79&gt;(F72),(B81&gt;((F72)*0.3))),0.3,B81/B79))),2),0)</f>
        <v>0</v>
      </c>
      <c r="I74" s="138"/>
      <c r="J74" s="138"/>
    </row>
    <row r="75" spans="1:10" ht="12.75">
      <c r="A75" s="4" t="s">
        <v>40</v>
      </c>
      <c r="B75" s="68"/>
      <c r="C75" s="53" t="s">
        <v>170</v>
      </c>
      <c r="D75" s="17"/>
      <c r="F75" s="155">
        <f>_xlfn.IFERROR(ROUND((IF(AND(B79&gt;(F72),(B81&gt;((F72)*0.3))),(B81-((F72)*0.3))/(B79-((F72))),0)),2),0)</f>
        <v>0</v>
      </c>
      <c r="I75" s="138"/>
      <c r="J75" s="138"/>
    </row>
    <row r="76" spans="1:10" ht="12.75">
      <c r="A76" s="22" t="s">
        <v>266</v>
      </c>
      <c r="B76" s="68"/>
      <c r="D76" s="37"/>
      <c r="I76" s="138"/>
      <c r="J76" s="138"/>
    </row>
    <row r="77" spans="1:10" ht="12.75">
      <c r="A77" s="4" t="s">
        <v>238</v>
      </c>
      <c r="D77" s="37"/>
      <c r="I77" s="138"/>
      <c r="J77" s="138"/>
    </row>
    <row r="78" spans="1:10" ht="12.75">
      <c r="A78" s="4"/>
      <c r="D78" s="4"/>
      <c r="I78" s="138"/>
      <c r="J78" s="138"/>
    </row>
    <row r="79" spans="1:10" ht="12.75">
      <c r="A79" s="22" t="s">
        <v>174</v>
      </c>
      <c r="B79" s="70">
        <f>B73+B76-B74-B75</f>
        <v>0</v>
      </c>
      <c r="I79" s="138"/>
      <c r="J79" s="138"/>
    </row>
    <row r="80" spans="1:10" ht="12.75">
      <c r="A80" s="4"/>
      <c r="B80"/>
      <c r="I80" s="138"/>
      <c r="J80" s="138"/>
    </row>
    <row r="81" spans="1:10" ht="12.75">
      <c r="A81" s="53" t="s">
        <v>171</v>
      </c>
      <c r="B81" s="68"/>
      <c r="I81" s="138"/>
      <c r="J81" s="138"/>
    </row>
    <row r="82" spans="1:10" ht="12.75">
      <c r="A82" s="4"/>
      <c r="C82"/>
      <c r="I82" s="138"/>
      <c r="J82" s="138"/>
    </row>
    <row r="83" spans="1:10" ht="12.75">
      <c r="A83" s="22" t="s">
        <v>199</v>
      </c>
      <c r="C83" s="70">
        <f>B79-B81</f>
        <v>0</v>
      </c>
      <c r="I83" s="138"/>
      <c r="J83" s="138"/>
    </row>
    <row r="84" spans="1:10" ht="12.75">
      <c r="A84" s="4"/>
      <c r="C84" s="14"/>
      <c r="I84" s="138"/>
      <c r="J84" s="138"/>
    </row>
    <row r="85" spans="1:18" ht="12.75">
      <c r="A85" s="124" t="s">
        <v>83</v>
      </c>
      <c r="B85" s="101"/>
      <c r="C85" s="41"/>
      <c r="D85" s="41"/>
      <c r="E85"/>
      <c r="I85" s="138"/>
      <c r="J85" s="138"/>
      <c r="R85" s="135"/>
    </row>
    <row r="86" spans="1:18" ht="12.75">
      <c r="A86" s="52"/>
      <c r="E86"/>
      <c r="F86" s="163">
        <f>Indtægtsopgørelse!E158/0.7</f>
        <v>0</v>
      </c>
      <c r="I86" s="138"/>
      <c r="J86" s="138"/>
      <c r="R86" s="135"/>
    </row>
    <row r="87" spans="1:18" ht="12.75">
      <c r="A87" s="22" t="s">
        <v>41</v>
      </c>
      <c r="B87" s="74"/>
      <c r="C87" s="53" t="s">
        <v>178</v>
      </c>
      <c r="F87" s="75">
        <f>+F73</f>
        <v>0</v>
      </c>
      <c r="I87" s="138"/>
      <c r="J87" s="138"/>
      <c r="R87" s="135"/>
    </row>
    <row r="88" spans="1:18" ht="12.75">
      <c r="A88" s="4" t="s">
        <v>39</v>
      </c>
      <c r="B88" s="68"/>
      <c r="C88" s="53" t="s">
        <v>169</v>
      </c>
      <c r="D88" s="17"/>
      <c r="E88"/>
      <c r="F88" s="154">
        <f>_xlfn.IFERROR(ROUND((IF(B93&lt;(F86),B95/B93,IF(AND(B93&gt;(F86),(B95&gt;((F86)*0.3))),0.3,B95/B93))),2),0)</f>
        <v>0</v>
      </c>
      <c r="I88" s="138"/>
      <c r="J88" s="138"/>
      <c r="R88" s="135"/>
    </row>
    <row r="89" spans="1:18" ht="12.75">
      <c r="A89" s="4" t="s">
        <v>40</v>
      </c>
      <c r="B89" s="68"/>
      <c r="C89" s="53" t="s">
        <v>170</v>
      </c>
      <c r="D89" s="17"/>
      <c r="E89"/>
      <c r="F89" s="155">
        <f>_xlfn.IFERROR(ROUND((IF(AND(B93&gt;(F86),(B95&gt;((F86)*0.3))),(B95-((F86)*0.3))/(B93-((F86))),0)),2),0)</f>
        <v>0</v>
      </c>
      <c r="I89" s="138"/>
      <c r="J89" s="138"/>
      <c r="R89" s="135"/>
    </row>
    <row r="90" spans="1:18" ht="12.75">
      <c r="A90" s="22" t="s">
        <v>266</v>
      </c>
      <c r="B90" s="68"/>
      <c r="E90"/>
      <c r="I90" s="138"/>
      <c r="J90" s="138"/>
      <c r="R90" s="135"/>
    </row>
    <row r="91" spans="1:18" ht="12.75">
      <c r="A91" s="4"/>
      <c r="B91" s="156"/>
      <c r="E91"/>
      <c r="I91" s="138"/>
      <c r="J91" s="138"/>
      <c r="R91" s="135"/>
    </row>
    <row r="92" spans="1:18" ht="12.75">
      <c r="A92" s="4"/>
      <c r="B92"/>
      <c r="E92"/>
      <c r="I92" s="138"/>
      <c r="J92" s="138"/>
      <c r="R92" s="135"/>
    </row>
    <row r="93" spans="1:18" ht="12.75">
      <c r="A93" s="22" t="s">
        <v>174</v>
      </c>
      <c r="B93" s="70">
        <f>B87+B90-B88-B89</f>
        <v>0</v>
      </c>
      <c r="E93"/>
      <c r="I93" s="138"/>
      <c r="J93" s="138"/>
      <c r="R93" s="135"/>
    </row>
    <row r="94" spans="1:18" ht="12.75">
      <c r="A94" s="22"/>
      <c r="B94"/>
      <c r="E94"/>
      <c r="I94" s="138"/>
      <c r="J94" s="138"/>
      <c r="R94" s="135"/>
    </row>
    <row r="95" spans="1:18" ht="12.75">
      <c r="A95" s="53" t="s">
        <v>171</v>
      </c>
      <c r="B95" s="68"/>
      <c r="D95" s="37"/>
      <c r="E95"/>
      <c r="I95" s="138"/>
      <c r="J95" s="138"/>
      <c r="R95" s="135"/>
    </row>
    <row r="96" spans="1:18" ht="12.75">
      <c r="A96"/>
      <c r="B96"/>
      <c r="C96"/>
      <c r="D96" s="4"/>
      <c r="E96"/>
      <c r="I96" s="138"/>
      <c r="J96" s="138"/>
      <c r="R96" s="135"/>
    </row>
    <row r="97" spans="1:18" ht="12.75">
      <c r="A97" s="22" t="s">
        <v>201</v>
      </c>
      <c r="C97" s="70">
        <f>B93-B95</f>
        <v>0</v>
      </c>
      <c r="D97"/>
      <c r="E97"/>
      <c r="I97" s="138"/>
      <c r="J97" s="138"/>
      <c r="R97" s="135"/>
    </row>
    <row r="98" spans="1:18" ht="12.75">
      <c r="A98" s="22"/>
      <c r="E98"/>
      <c r="I98" s="138"/>
      <c r="J98" s="138"/>
      <c r="R98" s="135"/>
    </row>
    <row r="99" spans="1:18" ht="12.75">
      <c r="A99" s="22" t="s">
        <v>207</v>
      </c>
      <c r="E99"/>
      <c r="F99" s="70">
        <f>C66+C83+C97</f>
        <v>0</v>
      </c>
      <c r="I99" s="138"/>
      <c r="J99" s="138"/>
      <c r="R99" s="135"/>
    </row>
    <row r="100" spans="1:18" ht="12.75">
      <c r="A100" s="4"/>
      <c r="E100"/>
      <c r="I100" s="138"/>
      <c r="J100" s="138"/>
      <c r="R100" s="135"/>
    </row>
    <row r="101" spans="1:18" ht="15">
      <c r="A101" s="100" t="s">
        <v>130</v>
      </c>
      <c r="B101" s="101"/>
      <c r="I101" s="138"/>
      <c r="J101" s="138"/>
      <c r="R101" s="135"/>
    </row>
    <row r="102" spans="1:18" ht="12.75">
      <c r="A102" s="51" t="s">
        <v>253</v>
      </c>
      <c r="I102" s="138"/>
      <c r="J102" s="138"/>
      <c r="R102" s="135"/>
    </row>
    <row r="103" spans="1:18" ht="12.75">
      <c r="A103" s="51" t="s">
        <v>254</v>
      </c>
      <c r="I103" s="138"/>
      <c r="J103" s="138"/>
      <c r="R103" s="135"/>
    </row>
    <row r="104" spans="1:18" ht="12.75">
      <c r="A104" s="51" t="s">
        <v>190</v>
      </c>
      <c r="I104" s="138"/>
      <c r="J104" s="138"/>
      <c r="R104" s="135"/>
    </row>
    <row r="105" spans="1:10" ht="12.75">
      <c r="A105" s="51"/>
      <c r="I105" s="138"/>
      <c r="J105" s="138"/>
    </row>
    <row r="106" spans="1:10" ht="12.75">
      <c r="A106" s="52"/>
      <c r="C106" s="22" t="s">
        <v>101</v>
      </c>
      <c r="D106" s="22" t="s">
        <v>102</v>
      </c>
      <c r="I106" s="138"/>
      <c r="J106" s="138"/>
    </row>
    <row r="107" spans="1:10" ht="12.75">
      <c r="A107" s="4" t="s">
        <v>287</v>
      </c>
      <c r="C107" s="22"/>
      <c r="D107" s="69">
        <f>Indtægtsopgørelse!B71</f>
        <v>0</v>
      </c>
      <c r="I107" s="138"/>
      <c r="J107" s="138"/>
    </row>
    <row r="108" spans="1:10" ht="12.75">
      <c r="A108" s="4" t="s">
        <v>286</v>
      </c>
      <c r="C108" s="22"/>
      <c r="D108" s="69">
        <f>Indtægtsopgørelse!B72</f>
        <v>0</v>
      </c>
      <c r="I108" s="138"/>
      <c r="J108" s="138"/>
    </row>
    <row r="109" spans="1:10" ht="12.75">
      <c r="A109" s="4" t="s">
        <v>288</v>
      </c>
      <c r="C109" s="22"/>
      <c r="D109" s="69">
        <f>Indtægtsopgørelse!B73</f>
        <v>0</v>
      </c>
      <c r="I109" s="138"/>
      <c r="J109" s="138"/>
    </row>
    <row r="110" spans="1:10" ht="12.75">
      <c r="A110" s="22" t="s">
        <v>285</v>
      </c>
      <c r="C110" s="88"/>
      <c r="D110" s="170">
        <f>SUM(D107:D109)</f>
        <v>0</v>
      </c>
      <c r="I110" s="138"/>
      <c r="J110" s="138"/>
    </row>
    <row r="111" spans="1:10" ht="12.75">
      <c r="A111" s="22" t="s">
        <v>237</v>
      </c>
      <c r="C111" s="89"/>
      <c r="D111" s="89"/>
      <c r="I111" s="138"/>
      <c r="J111" s="138"/>
    </row>
    <row r="112" spans="1:10" ht="12.75">
      <c r="A112" s="4" t="s">
        <v>160</v>
      </c>
      <c r="C112" s="89"/>
      <c r="D112" s="89"/>
      <c r="E112" s="37"/>
      <c r="I112" s="138"/>
      <c r="J112" s="138"/>
    </row>
    <row r="113" spans="1:10" ht="12.75">
      <c r="A113" s="4"/>
      <c r="B113"/>
      <c r="C113" s="88"/>
      <c r="D113" s="53"/>
      <c r="E113" s="17"/>
      <c r="F113"/>
      <c r="I113" s="138"/>
      <c r="J113" s="138"/>
    </row>
    <row r="114" spans="1:10" ht="12.75">
      <c r="A114" s="53" t="s">
        <v>151</v>
      </c>
      <c r="B114"/>
      <c r="C114" s="155">
        <f>_xlfn.IFERROR(ROUND((C112/C111),2),0)</f>
        <v>0</v>
      </c>
      <c r="D114" s="155">
        <f>_xlfn.IFERROR(ROUND((D112/D111),2),0)</f>
        <v>0</v>
      </c>
      <c r="E114" s="17"/>
      <c r="I114" s="138"/>
      <c r="J114" s="138"/>
    </row>
    <row r="115" spans="1:10" ht="12.75">
      <c r="A115" s="4"/>
      <c r="B115"/>
      <c r="C115" s="88"/>
      <c r="D115" s="53"/>
      <c r="E115" s="17"/>
      <c r="I115" s="138"/>
      <c r="J115" s="138"/>
    </row>
    <row r="116" spans="1:10" ht="12.75">
      <c r="A116" s="22"/>
      <c r="B116" s="37"/>
      <c r="C116" s="4"/>
      <c r="D116" s="4"/>
      <c r="I116" s="138"/>
      <c r="J116" s="138"/>
    </row>
    <row r="117" spans="1:10" ht="12.75">
      <c r="A117" s="22" t="s">
        <v>208</v>
      </c>
      <c r="C117" s="69">
        <f>C111-C112</f>
        <v>0</v>
      </c>
      <c r="D117" s="69">
        <f>IF(D111-D112&lt;0,D110,D110+D111-D112)</f>
        <v>0</v>
      </c>
      <c r="I117" s="138"/>
      <c r="J117" s="138"/>
    </row>
    <row r="118" spans="1:10" ht="12.75">
      <c r="A118" s="22"/>
      <c r="B118" s="25"/>
      <c r="C118" s="15"/>
      <c r="D118" s="54"/>
      <c r="I118" s="138"/>
      <c r="J118" s="138"/>
    </row>
    <row r="119" spans="1:10" ht="13.5">
      <c r="A119" s="22"/>
      <c r="B119" s="25"/>
      <c r="C119" s="15"/>
      <c r="D119" s="54"/>
      <c r="F119" s="8"/>
      <c r="I119" s="138"/>
      <c r="J119" s="138"/>
    </row>
    <row r="120" spans="1:10" ht="13.5">
      <c r="A120" s="22"/>
      <c r="B120" s="25"/>
      <c r="C120" s="15"/>
      <c r="D120" s="54"/>
      <c r="F120" s="8">
        <v>7</v>
      </c>
      <c r="I120" s="138"/>
      <c r="J120" s="138"/>
    </row>
    <row r="121" spans="1:10" ht="17.25">
      <c r="A121" s="110" t="s">
        <v>71</v>
      </c>
      <c r="B121" s="111"/>
      <c r="C121" s="111"/>
      <c r="D121" s="110"/>
      <c r="E121" s="110"/>
      <c r="F121" s="111"/>
      <c r="I121" s="138"/>
      <c r="J121" s="138"/>
    </row>
    <row r="122" spans="1:10" ht="12.75">
      <c r="A122" s="52"/>
      <c r="D122" s="4"/>
      <c r="I122" s="138"/>
      <c r="J122" s="138"/>
    </row>
    <row r="123" spans="1:10" ht="15">
      <c r="A123" s="105" t="s">
        <v>18</v>
      </c>
      <c r="B123" s="105"/>
      <c r="C123" s="41"/>
      <c r="D123" s="41"/>
      <c r="I123" s="138"/>
      <c r="J123" s="138"/>
    </row>
    <row r="124" spans="1:10" ht="12.75">
      <c r="A124" s="51" t="s">
        <v>191</v>
      </c>
      <c r="I124" s="138"/>
      <c r="J124" s="138"/>
    </row>
    <row r="125" ht="12.75">
      <c r="A125" s="51" t="s">
        <v>268</v>
      </c>
    </row>
    <row r="126" ht="12.75">
      <c r="A126" s="51" t="s">
        <v>194</v>
      </c>
    </row>
    <row r="127" spans="1:4" ht="12.75">
      <c r="A127" s="51" t="s">
        <v>185</v>
      </c>
      <c r="B127" s="41"/>
      <c r="C127" s="41"/>
      <c r="D127" s="41"/>
    </row>
    <row r="128" ht="12.75">
      <c r="A128" s="51" t="s">
        <v>84</v>
      </c>
    </row>
    <row r="129" ht="12.75">
      <c r="A129" s="51"/>
    </row>
    <row r="130" spans="1:6" ht="12.75">
      <c r="A130" s="22" t="s">
        <v>60</v>
      </c>
      <c r="F130" s="163">
        <f>+Indtægtsopgørelse!E159/0.7</f>
        <v>0</v>
      </c>
    </row>
    <row r="131" spans="1:6" ht="12.75">
      <c r="A131" s="36" t="s">
        <v>61</v>
      </c>
      <c r="B131" s="68"/>
      <c r="C131" s="53" t="s">
        <v>178</v>
      </c>
      <c r="F131" s="75">
        <f>+F87</f>
        <v>0</v>
      </c>
    </row>
    <row r="132" spans="1:6" ht="12.75">
      <c r="A132" s="36" t="s">
        <v>62</v>
      </c>
      <c r="B132" s="68"/>
      <c r="C132" s="53" t="s">
        <v>169</v>
      </c>
      <c r="D132" s="17"/>
      <c r="F132" s="154">
        <f>_xlfn.IFERROR(ROUND((IF(B138&lt;(F130/0.7),B140/B138,IF(AND(B138&gt;(F130),(B140&gt;((F130)*0.3))),0.3,B140/B138))),2),0)</f>
        <v>0</v>
      </c>
    </row>
    <row r="133" spans="1:6" ht="12.75">
      <c r="A133" s="36" t="s">
        <v>72</v>
      </c>
      <c r="B133" s="68"/>
      <c r="C133" s="53" t="s">
        <v>170</v>
      </c>
      <c r="D133" s="17"/>
      <c r="F133" s="155">
        <f>_xlfn.IFERROR(ROUND((IF(AND(B138&gt;(F130),(B140&gt;((F130)*0.3))),(B140-((F130)*0.3))/(B138-((F130))),0)),2),0)</f>
        <v>0</v>
      </c>
    </row>
    <row r="134" spans="1:2" ht="12.75">
      <c r="A134" s="36" t="s">
        <v>73</v>
      </c>
      <c r="B134" s="68"/>
    </row>
    <row r="135" spans="1:2" ht="12.75">
      <c r="A135" s="4" t="s">
        <v>39</v>
      </c>
      <c r="B135" s="68"/>
    </row>
    <row r="136" spans="1:2" ht="12.75">
      <c r="A136" s="4" t="s">
        <v>40</v>
      </c>
      <c r="B136" s="68"/>
    </row>
    <row r="137" spans="1:2" ht="12.75">
      <c r="A137" s="4"/>
      <c r="B137" s="15"/>
    </row>
    <row r="138" spans="1:2" ht="12.75">
      <c r="A138" s="22" t="s">
        <v>94</v>
      </c>
      <c r="B138" s="69">
        <f>B131+B132+B133+B134-B135-B136</f>
        <v>0</v>
      </c>
    </row>
    <row r="139" spans="1:6" ht="12.75">
      <c r="A139" s="22"/>
      <c r="B139"/>
      <c r="D139"/>
      <c r="E139"/>
      <c r="F139"/>
    </row>
    <row r="140" spans="1:6" ht="12.75">
      <c r="A140" s="53" t="s">
        <v>171</v>
      </c>
      <c r="B140" s="68"/>
      <c r="D140"/>
      <c r="E140"/>
      <c r="F140"/>
    </row>
    <row r="141" ht="12.75">
      <c r="A141" s="4"/>
    </row>
    <row r="142" spans="1:6" ht="12.75">
      <c r="A142" s="22" t="s">
        <v>203</v>
      </c>
      <c r="D142" s="54"/>
      <c r="E142" s="92"/>
      <c r="F142" s="70">
        <f>B138-B140</f>
        <v>0</v>
      </c>
    </row>
    <row r="143" spans="1:4" ht="12.75">
      <c r="A143" s="22"/>
      <c r="C143" s="15"/>
      <c r="D143" s="93"/>
    </row>
    <row r="144" spans="1:6" ht="12.75">
      <c r="A144" s="22"/>
      <c r="C144" s="15"/>
      <c r="F144" s="41"/>
    </row>
    <row r="145" spans="1:4" ht="15">
      <c r="A145" s="105" t="s">
        <v>85</v>
      </c>
      <c r="B145" s="105"/>
      <c r="C145" s="41"/>
      <c r="D145" s="41"/>
    </row>
    <row r="146" spans="1:2" ht="12.75">
      <c r="A146" s="51" t="s">
        <v>192</v>
      </c>
      <c r="B146" s="5"/>
    </row>
    <row r="147" ht="12.75">
      <c r="A147" s="51" t="s">
        <v>193</v>
      </c>
    </row>
    <row r="148" ht="12.75">
      <c r="A148" s="51" t="s">
        <v>194</v>
      </c>
    </row>
    <row r="149" spans="1:4" ht="12.75">
      <c r="A149" s="51" t="s">
        <v>185</v>
      </c>
      <c r="B149" s="41"/>
      <c r="C149" s="41"/>
      <c r="D149" s="41"/>
    </row>
    <row r="150" ht="12.75">
      <c r="A150" s="51" t="s">
        <v>195</v>
      </c>
    </row>
    <row r="151" ht="12.75">
      <c r="A151" s="51"/>
    </row>
    <row r="152" spans="1:6" ht="12.75">
      <c r="A152" s="123" t="s">
        <v>59</v>
      </c>
      <c r="B152" s="111"/>
      <c r="F152" s="163">
        <f>Indtægtsopgørelse!E160/0.7</f>
        <v>0</v>
      </c>
    </row>
    <row r="153" spans="1:6" ht="12.75">
      <c r="A153" s="36" t="s">
        <v>63</v>
      </c>
      <c r="B153" s="68"/>
      <c r="C153" s="53" t="s">
        <v>178</v>
      </c>
      <c r="F153" s="75">
        <f>+F131</f>
        <v>0</v>
      </c>
    </row>
    <row r="154" spans="1:6" ht="12.75">
      <c r="A154" s="36" t="s">
        <v>62</v>
      </c>
      <c r="B154" s="68"/>
      <c r="C154" s="53" t="s">
        <v>169</v>
      </c>
      <c r="D154" s="17"/>
      <c r="E154"/>
      <c r="F154" s="154">
        <f>_xlfn.IFERROR(ROUND((IF(B160&lt;(F152),B162/B160,IF(AND(B160&gt;(F152),(B162&gt;((F152)*0.3))),0.3,B162/B160))),2),0)</f>
        <v>0</v>
      </c>
    </row>
    <row r="155" spans="1:6" ht="12.75">
      <c r="A155" s="36" t="s">
        <v>72</v>
      </c>
      <c r="B155" s="68"/>
      <c r="C155" s="53" t="s">
        <v>170</v>
      </c>
      <c r="D155" s="17"/>
      <c r="E155"/>
      <c r="F155" s="155">
        <f>_xlfn.IFERROR(ROUND((IF(AND(B160&gt;(F152),(B162&gt;((F152)*0.3))),(B162-((F152)*0.3))/(B160-((F152))),0)),2),0)</f>
        <v>0</v>
      </c>
    </row>
    <row r="156" spans="1:2" ht="12.75">
      <c r="A156" s="36" t="s">
        <v>73</v>
      </c>
      <c r="B156" s="68"/>
    </row>
    <row r="157" spans="1:2" ht="12.75">
      <c r="A157" s="4" t="s">
        <v>39</v>
      </c>
      <c r="B157" s="68"/>
    </row>
    <row r="158" spans="1:2" ht="12.75">
      <c r="A158" s="4" t="s">
        <v>40</v>
      </c>
      <c r="B158" s="68"/>
    </row>
    <row r="159" spans="1:2" ht="12.75">
      <c r="A159" s="4"/>
      <c r="B159" s="14"/>
    </row>
    <row r="160" spans="1:2" ht="12.75">
      <c r="A160" s="22" t="s">
        <v>174</v>
      </c>
      <c r="B160" s="70">
        <f>B153+B154+B155+B156-B157-B158</f>
        <v>0</v>
      </c>
    </row>
    <row r="161" spans="1:2" ht="12.75">
      <c r="A161" s="22"/>
      <c r="B161"/>
    </row>
    <row r="162" spans="1:5" ht="12.75">
      <c r="A162" s="53" t="s">
        <v>171</v>
      </c>
      <c r="B162" s="68"/>
      <c r="D162"/>
      <c r="E162"/>
    </row>
    <row r="163" spans="1:5" ht="12.75">
      <c r="A163"/>
      <c r="B163"/>
      <c r="C163"/>
      <c r="D163"/>
      <c r="E163"/>
    </row>
    <row r="164" spans="1:5" ht="12.75">
      <c r="A164" s="22" t="s">
        <v>200</v>
      </c>
      <c r="C164" s="70">
        <f>B160-B162</f>
        <v>0</v>
      </c>
      <c r="D164"/>
      <c r="E164"/>
    </row>
    <row r="165" spans="1:2" ht="12.75">
      <c r="A165" s="22"/>
      <c r="B165" s="17"/>
    </row>
    <row r="166" spans="1:6" ht="12.75">
      <c r="A166" s="123" t="s">
        <v>58</v>
      </c>
      <c r="B166" s="111"/>
      <c r="F166" s="163">
        <f>Indtægtsopgørelse!E161/0.7</f>
        <v>0</v>
      </c>
    </row>
    <row r="167" spans="1:6" ht="12.75">
      <c r="A167" s="36" t="s">
        <v>63</v>
      </c>
      <c r="B167" s="68"/>
      <c r="C167" s="53" t="s">
        <v>178</v>
      </c>
      <c r="F167" s="75">
        <f>+F153</f>
        <v>0</v>
      </c>
    </row>
    <row r="168" spans="1:6" ht="12.75">
      <c r="A168" s="36" t="s">
        <v>62</v>
      </c>
      <c r="B168" s="68"/>
      <c r="C168" s="53" t="s">
        <v>169</v>
      </c>
      <c r="D168" s="17"/>
      <c r="E168"/>
      <c r="F168" s="154">
        <f>_xlfn.IFERROR(ROUND((IF(B174&lt;(F166),B176/B174,IF(AND(B174&gt;(F166),(B176&gt;((F166)*0.3))),0.3,B176/B174))),2),0)</f>
        <v>0</v>
      </c>
    </row>
    <row r="169" spans="1:6" ht="12.75">
      <c r="A169" s="36" t="s">
        <v>72</v>
      </c>
      <c r="B169" s="68"/>
      <c r="C169" s="53" t="s">
        <v>170</v>
      </c>
      <c r="D169" s="17"/>
      <c r="E169"/>
      <c r="F169" s="155">
        <f>_xlfn.IFERROR(ROUND((IF(AND(B174&gt;(F166),(B176&gt;((F166)*0.3))),(B176-((F166)*0.3))/(B174-((F166))),0)),2),0)</f>
        <v>0</v>
      </c>
    </row>
    <row r="170" spans="1:6" ht="12.75">
      <c r="A170" s="36" t="s">
        <v>73</v>
      </c>
      <c r="B170" s="68"/>
      <c r="D170"/>
      <c r="E170"/>
      <c r="F170"/>
    </row>
    <row r="171" spans="1:2" ht="12.75">
      <c r="A171" s="4" t="s">
        <v>39</v>
      </c>
      <c r="B171" s="68"/>
    </row>
    <row r="172" spans="1:2" ht="12.75">
      <c r="A172" s="4" t="s">
        <v>40</v>
      </c>
      <c r="B172" s="68"/>
    </row>
    <row r="173" spans="1:2" ht="12.75">
      <c r="A173" s="4"/>
      <c r="B173" s="14"/>
    </row>
    <row r="174" spans="1:2" ht="12.75">
      <c r="A174" s="22" t="s">
        <v>174</v>
      </c>
      <c r="B174" s="70">
        <f>B167+B168+B169+B170-B171-B172</f>
        <v>0</v>
      </c>
    </row>
    <row r="175" spans="1:2" ht="12.75">
      <c r="A175" s="22"/>
      <c r="B175"/>
    </row>
    <row r="176" spans="1:5" ht="12.75">
      <c r="A176" s="53" t="s">
        <v>171</v>
      </c>
      <c r="B176" s="68"/>
      <c r="D176"/>
      <c r="E176"/>
    </row>
    <row r="177" spans="1:5" ht="12.75">
      <c r="A177"/>
      <c r="B177"/>
      <c r="C177"/>
      <c r="D177"/>
      <c r="E177"/>
    </row>
    <row r="178" spans="1:5" ht="12.75">
      <c r="A178" s="22" t="s">
        <v>199</v>
      </c>
      <c r="C178" s="70">
        <f>B174-B176</f>
        <v>0</v>
      </c>
      <c r="D178"/>
      <c r="E178"/>
    </row>
    <row r="179" spans="1:6" ht="13.5">
      <c r="A179" s="22"/>
      <c r="C179" s="15"/>
      <c r="F179" s="8"/>
    </row>
    <row r="180" spans="1:6" ht="13.5">
      <c r="A180" s="22"/>
      <c r="C180" s="15"/>
      <c r="F180" s="8">
        <v>8</v>
      </c>
    </row>
    <row r="181" spans="1:4" ht="12.75">
      <c r="A181" s="123" t="s">
        <v>86</v>
      </c>
      <c r="B181" s="111"/>
      <c r="C181" s="41"/>
      <c r="D181" s="41"/>
    </row>
    <row r="182" ht="12.75">
      <c r="A182" s="51" t="s">
        <v>197</v>
      </c>
    </row>
    <row r="183" ht="12.75">
      <c r="A183" s="51" t="s">
        <v>196</v>
      </c>
    </row>
    <row r="184" ht="12.75">
      <c r="A184" s="51" t="s">
        <v>198</v>
      </c>
    </row>
    <row r="185" spans="1:4" ht="12.75">
      <c r="A185" s="51" t="s">
        <v>185</v>
      </c>
      <c r="B185" s="41"/>
      <c r="C185" s="41"/>
      <c r="D185" s="41"/>
    </row>
    <row r="186" ht="12.75">
      <c r="A186" s="51" t="s">
        <v>195</v>
      </c>
    </row>
    <row r="187" ht="12.75">
      <c r="A187" s="52"/>
    </row>
    <row r="188" spans="1:6" ht="12.75">
      <c r="A188" s="22" t="s">
        <v>56</v>
      </c>
      <c r="F188" s="163">
        <f>Indtægtsopgørelse!E165/0.7</f>
        <v>0</v>
      </c>
    </row>
    <row r="189" spans="1:6" ht="12.75">
      <c r="A189" s="36" t="s">
        <v>63</v>
      </c>
      <c r="B189" s="68"/>
      <c r="C189" s="53" t="s">
        <v>178</v>
      </c>
      <c r="F189" s="75">
        <f>+F167</f>
        <v>0</v>
      </c>
    </row>
    <row r="190" spans="1:6" ht="12.75">
      <c r="A190" s="36" t="s">
        <v>62</v>
      </c>
      <c r="B190" s="68"/>
      <c r="C190" s="53" t="s">
        <v>169</v>
      </c>
      <c r="D190" s="17"/>
      <c r="E190"/>
      <c r="F190" s="154">
        <f>_xlfn.IFERROR(ROUND((IF(B196&lt;(#REF!/0.7),B198/B196,IF(AND(B196&gt;(#REF!/0.7),(B198&gt;((#REF!/0.7)*0.3))),0.3,B198/B196))),2),0)</f>
        <v>0</v>
      </c>
    </row>
    <row r="191" spans="1:6" ht="12.75">
      <c r="A191" s="36" t="s">
        <v>72</v>
      </c>
      <c r="B191" s="68"/>
      <c r="C191" s="53" t="s">
        <v>170</v>
      </c>
      <c r="D191" s="17"/>
      <c r="E191"/>
      <c r="F191" s="155">
        <f>_xlfn.IFERROR(ROUND((IF(AND(B196&gt;(#REF!/0.7),(B198&gt;((#REF!/0.7)*0.3))),(B198-((#REF!/0.7)*0.3))/(B196-((#REF!/0.7))),0)),2),0)</f>
        <v>0</v>
      </c>
    </row>
    <row r="192" spans="1:2" ht="12.75">
      <c r="A192" s="36" t="s">
        <v>73</v>
      </c>
      <c r="B192" s="68"/>
    </row>
    <row r="193" spans="1:2" ht="12.75">
      <c r="A193" s="4" t="s">
        <v>39</v>
      </c>
      <c r="B193" s="68"/>
    </row>
    <row r="194" spans="1:2" ht="12.75">
      <c r="A194" s="4" t="s">
        <v>40</v>
      </c>
      <c r="B194" s="68"/>
    </row>
    <row r="195" ht="12.75">
      <c r="A195" s="4"/>
    </row>
    <row r="196" spans="1:4" ht="12.75">
      <c r="A196" s="22" t="s">
        <v>174</v>
      </c>
      <c r="B196" s="70">
        <f>B189+B190+B191+B192-B193-B194</f>
        <v>0</v>
      </c>
      <c r="D196" s="54"/>
    </row>
    <row r="197" spans="1:4" ht="12.75">
      <c r="A197" s="22"/>
      <c r="C197"/>
      <c r="D197" s="54"/>
    </row>
    <row r="198" spans="1:6" ht="12.75">
      <c r="A198" s="53" t="s">
        <v>171</v>
      </c>
      <c r="B198" s="68"/>
      <c r="D198"/>
      <c r="E198"/>
      <c r="F198"/>
    </row>
    <row r="199" spans="1:6" ht="12.75">
      <c r="A199" s="22"/>
      <c r="D199"/>
      <c r="E199"/>
      <c r="F199"/>
    </row>
    <row r="200" spans="1:6" ht="12.75">
      <c r="A200" s="22" t="s">
        <v>202</v>
      </c>
      <c r="C200" s="70">
        <f>B196-B198</f>
        <v>0</v>
      </c>
      <c r="D200" s="17"/>
      <c r="E200"/>
      <c r="F200"/>
    </row>
    <row r="201" spans="1:6" ht="12.75">
      <c r="A201" s="4"/>
      <c r="D201"/>
      <c r="E201"/>
      <c r="F201"/>
    </row>
    <row r="202" spans="1:6" ht="12.75">
      <c r="A202" s="22" t="s">
        <v>209</v>
      </c>
      <c r="D202"/>
      <c r="E202"/>
      <c r="F202" s="69">
        <f>C164+C178+C200</f>
        <v>0</v>
      </c>
    </row>
    <row r="203" spans="1:4" ht="12.75">
      <c r="A203" s="22"/>
      <c r="B203" s="25"/>
      <c r="C203" s="15"/>
      <c r="D203" s="54"/>
    </row>
    <row r="204" spans="1:3" ht="12.75">
      <c r="A204" s="22"/>
      <c r="C204" s="17"/>
    </row>
    <row r="205" spans="1:3" ht="15">
      <c r="A205" s="105" t="s">
        <v>149</v>
      </c>
      <c r="B205" s="105"/>
      <c r="C205" s="17"/>
    </row>
    <row r="206" spans="1:3" ht="12.75">
      <c r="A206" s="51" t="s">
        <v>103</v>
      </c>
      <c r="C206" s="17"/>
    </row>
    <row r="207" spans="1:3" ht="12.75">
      <c r="A207" s="51" t="s">
        <v>89</v>
      </c>
      <c r="C207" s="17"/>
    </row>
    <row r="208" spans="1:3" ht="12.75">
      <c r="A208" s="51"/>
      <c r="C208" s="17"/>
    </row>
    <row r="209" ht="12.75">
      <c r="A209" s="22" t="s">
        <v>143</v>
      </c>
    </row>
    <row r="210" spans="1:3" ht="12.75">
      <c r="A210" s="36" t="s">
        <v>63</v>
      </c>
      <c r="B210" s="22"/>
      <c r="C210" s="68"/>
    </row>
    <row r="211" spans="1:3" ht="12.75">
      <c r="A211" s="36" t="s">
        <v>62</v>
      </c>
      <c r="B211" s="22"/>
      <c r="C211" s="68"/>
    </row>
    <row r="212" spans="1:3" ht="12.75">
      <c r="A212" s="36" t="s">
        <v>72</v>
      </c>
      <c r="B212" s="22"/>
      <c r="C212" s="68"/>
    </row>
    <row r="213" spans="1:3" ht="12.75">
      <c r="A213" s="36" t="s">
        <v>73</v>
      </c>
      <c r="B213" s="22"/>
      <c r="C213" s="68"/>
    </row>
    <row r="214" spans="1:3" ht="12.75">
      <c r="A214" s="36" t="s">
        <v>179</v>
      </c>
      <c r="B214" s="22"/>
      <c r="C214" s="68"/>
    </row>
    <row r="215" spans="1:3" ht="12.75">
      <c r="A215" s="36"/>
      <c r="B215" s="22"/>
      <c r="C215" s="9"/>
    </row>
    <row r="216" spans="1:3" ht="12.75">
      <c r="A216" s="22" t="s">
        <v>211</v>
      </c>
      <c r="B216" s="22"/>
      <c r="C216" s="69">
        <f>+SUM(C210:C214)</f>
        <v>0</v>
      </c>
    </row>
    <row r="217" spans="1:3" ht="12.75">
      <c r="A217" s="22"/>
      <c r="C217" s="17"/>
    </row>
    <row r="218" spans="1:3" ht="12.75">
      <c r="A218" s="22"/>
      <c r="C218" s="17"/>
    </row>
    <row r="219" spans="1:4" ht="15">
      <c r="A219" s="105" t="s">
        <v>148</v>
      </c>
      <c r="B219" s="105"/>
      <c r="C219" s="41"/>
      <c r="D219" s="41"/>
    </row>
    <row r="220" ht="12.75">
      <c r="A220" s="51" t="s">
        <v>144</v>
      </c>
    </row>
    <row r="221" ht="12.75">
      <c r="A221" s="52"/>
    </row>
    <row r="222" spans="1:4" ht="12.75">
      <c r="A222" s="22" t="s">
        <v>145</v>
      </c>
      <c r="C222" s="35" t="s">
        <v>101</v>
      </c>
      <c r="D222" s="35" t="s">
        <v>102</v>
      </c>
    </row>
    <row r="223" spans="1:4" ht="12.75">
      <c r="A223" s="36" t="s">
        <v>63</v>
      </c>
      <c r="C223" s="164"/>
      <c r="D223" s="164"/>
    </row>
    <row r="224" spans="1:4" ht="12.75">
      <c r="A224" s="36" t="s">
        <v>62</v>
      </c>
      <c r="C224" s="164"/>
      <c r="D224" s="164"/>
    </row>
    <row r="225" spans="1:6" ht="14.25">
      <c r="A225" s="36" t="s">
        <v>72</v>
      </c>
      <c r="C225" s="164"/>
      <c r="D225" s="164"/>
      <c r="F225" s="60"/>
    </row>
    <row r="226" spans="1:4" ht="12.75">
      <c r="A226" s="36" t="s">
        <v>73</v>
      </c>
      <c r="C226" s="164"/>
      <c r="D226" s="164"/>
    </row>
    <row r="227" spans="1:4" ht="12.75">
      <c r="A227" s="36" t="s">
        <v>179</v>
      </c>
      <c r="C227" s="164"/>
      <c r="D227" s="164"/>
    </row>
    <row r="228" spans="1:6" ht="12.75">
      <c r="A228" s="61" t="s">
        <v>159</v>
      </c>
      <c r="C228" s="165"/>
      <c r="D228" s="165"/>
      <c r="E228" s="41"/>
      <c r="F228" s="61"/>
    </row>
    <row r="229" spans="1:6" ht="12.75">
      <c r="A229" s="61"/>
      <c r="C229" s="13"/>
      <c r="D229" s="13"/>
      <c r="E229" s="41"/>
      <c r="F229" s="61"/>
    </row>
    <row r="230" spans="1:5" ht="12.75">
      <c r="A230" s="62" t="s">
        <v>151</v>
      </c>
      <c r="C230" s="155">
        <f>_xlfn.IFERROR(ROUND((C228/SUM(C223:C226)),2),0)</f>
        <v>0</v>
      </c>
      <c r="D230" s="155">
        <f>_xlfn.IFERROR(ROUND((D228/SUM(D223:D226)),2),0)</f>
        <v>0</v>
      </c>
      <c r="E230" s="17"/>
    </row>
    <row r="231" spans="1:4" ht="12.75">
      <c r="A231" s="22"/>
      <c r="C231" s="13"/>
      <c r="D231" s="62"/>
    </row>
    <row r="232" spans="1:4" ht="12.75">
      <c r="A232" s="22" t="s">
        <v>210</v>
      </c>
      <c r="C232" s="73">
        <f>C223+C224+C225+C226-C228</f>
        <v>0</v>
      </c>
      <c r="D232" s="73">
        <f>D223+D224+D225+D226-D228</f>
        <v>0</v>
      </c>
    </row>
    <row r="233" spans="1:4" ht="12.75">
      <c r="A233" s="52"/>
      <c r="D233" s="4"/>
    </row>
    <row r="234" spans="1:6" ht="13.5">
      <c r="A234" s="52"/>
      <c r="D234" s="4"/>
      <c r="F234" s="8"/>
    </row>
    <row r="235" spans="1:6" ht="13.5">
      <c r="A235" s="52"/>
      <c r="D235" s="4"/>
      <c r="F235" s="8">
        <v>9</v>
      </c>
    </row>
    <row r="236" spans="1:6" ht="17.25">
      <c r="A236" s="107" t="s">
        <v>147</v>
      </c>
      <c r="B236" s="106"/>
      <c r="C236" s="106"/>
      <c r="D236" s="107"/>
      <c r="E236" s="106"/>
      <c r="F236" s="106"/>
    </row>
    <row r="237" ht="12.75">
      <c r="A237" s="51" t="s">
        <v>255</v>
      </c>
    </row>
    <row r="238" spans="1:4" ht="12.75">
      <c r="A238" s="51" t="s">
        <v>256</v>
      </c>
      <c r="B238" s="41"/>
      <c r="C238" s="41"/>
      <c r="D238" s="41"/>
    </row>
    <row r="239" spans="1:6" ht="12.75">
      <c r="A239" s="51" t="s">
        <v>212</v>
      </c>
      <c r="B239" s="41"/>
      <c r="C239" s="41"/>
      <c r="D239" s="41"/>
      <c r="E239" s="37"/>
      <c r="F239" s="37"/>
    </row>
    <row r="240" spans="1:5" ht="12.75">
      <c r="A240" s="51" t="s">
        <v>257</v>
      </c>
      <c r="B240" s="41"/>
      <c r="C240" s="41"/>
      <c r="D240" s="41"/>
      <c r="E240" s="37"/>
    </row>
    <row r="241" spans="1:4" ht="12.75">
      <c r="A241" s="52"/>
      <c r="D241" s="82"/>
    </row>
    <row r="242" spans="1:4" ht="15">
      <c r="A242" s="104" t="s">
        <v>18</v>
      </c>
      <c r="B242" s="104"/>
      <c r="C242" s="41"/>
      <c r="D242" s="82"/>
    </row>
    <row r="243" spans="1:4" ht="12.75">
      <c r="A243" s="52"/>
      <c r="D243" s="82"/>
    </row>
    <row r="244" spans="1:4" ht="12.75">
      <c r="A244" s="22" t="s">
        <v>57</v>
      </c>
      <c r="C244" s="35" t="s">
        <v>101</v>
      </c>
      <c r="D244" s="35" t="s">
        <v>102</v>
      </c>
    </row>
    <row r="245" spans="1:4" ht="12.75">
      <c r="A245" s="63" t="s">
        <v>99</v>
      </c>
      <c r="C245" s="68"/>
      <c r="D245" s="68"/>
    </row>
    <row r="246" spans="1:6" ht="12.75">
      <c r="A246" s="63" t="s">
        <v>99</v>
      </c>
      <c r="C246" s="68"/>
      <c r="D246" s="68"/>
      <c r="E246"/>
      <c r="F246"/>
    </row>
    <row r="247" spans="1:6" ht="12.75">
      <c r="A247" s="63" t="s">
        <v>99</v>
      </c>
      <c r="C247" s="68"/>
      <c r="D247" s="68"/>
      <c r="F247" s="4"/>
    </row>
    <row r="248" spans="1:6" ht="12.75">
      <c r="A248" s="63" t="s">
        <v>99</v>
      </c>
      <c r="C248" s="68"/>
      <c r="D248" s="68"/>
      <c r="F248" s="4"/>
    </row>
    <row r="249" spans="1:4" ht="12.75">
      <c r="A249" s="63" t="s">
        <v>99</v>
      </c>
      <c r="C249" s="68"/>
      <c r="D249" s="68"/>
    </row>
    <row r="251" spans="1:4" ht="12.75">
      <c r="A251" s="4" t="s">
        <v>39</v>
      </c>
      <c r="C251" s="166"/>
      <c r="D251" s="166"/>
    </row>
    <row r="252" spans="1:4" ht="12.75">
      <c r="A252" s="4" t="s">
        <v>42</v>
      </c>
      <c r="C252" s="166"/>
      <c r="D252" s="166"/>
    </row>
    <row r="253" spans="1:4" ht="12.75">
      <c r="A253" s="4" t="s">
        <v>172</v>
      </c>
      <c r="C253" s="167"/>
      <c r="D253" s="167"/>
    </row>
    <row r="254" spans="1:2" ht="12.75">
      <c r="A254" s="4"/>
      <c r="B254"/>
    </row>
    <row r="255" spans="1:4" ht="12.75">
      <c r="A255" s="53" t="s">
        <v>116</v>
      </c>
      <c r="B255"/>
      <c r="C255" s="155">
        <f>_xlfn.IFERROR(ROUND((C253/SUM(C245:C249)),2),0)</f>
        <v>0</v>
      </c>
      <c r="D255" s="155">
        <f>_xlfn.IFERROR(ROUND((D253/SUM(D245:D249)),2),0)</f>
        <v>0</v>
      </c>
    </row>
    <row r="256" ht="12.75">
      <c r="A256" s="4"/>
    </row>
    <row r="257" spans="1:4" ht="12.75">
      <c r="A257" s="22" t="s">
        <v>203</v>
      </c>
      <c r="C257" s="70">
        <f>SUM(C245:C249)-C253-C251-C252</f>
        <v>0</v>
      </c>
      <c r="D257" s="70">
        <f>SUM(D245:D249)-D253-D251-D252</f>
        <v>0</v>
      </c>
    </row>
    <row r="258" spans="1:3" ht="12.75">
      <c r="A258" s="22"/>
      <c r="C258" s="17"/>
    </row>
    <row r="259" spans="1:3" ht="12.75">
      <c r="A259" s="22"/>
      <c r="C259" s="17"/>
    </row>
    <row r="260" spans="1:4" ht="15">
      <c r="A260" s="104" t="s">
        <v>49</v>
      </c>
      <c r="B260" s="104"/>
      <c r="C260" s="41"/>
      <c r="D260" s="41"/>
    </row>
    <row r="261" ht="12.75">
      <c r="A261" s="52"/>
    </row>
    <row r="262" spans="1:4" ht="12.75">
      <c r="A262" s="22" t="s">
        <v>59</v>
      </c>
      <c r="C262" s="35" t="s">
        <v>101</v>
      </c>
      <c r="D262" s="35" t="s">
        <v>102</v>
      </c>
    </row>
    <row r="263" spans="1:4" ht="12.75">
      <c r="A263" s="63" t="s">
        <v>99</v>
      </c>
      <c r="C263" s="68"/>
      <c r="D263" s="68"/>
    </row>
    <row r="264" spans="1:4" ht="12.75">
      <c r="A264" s="63" t="s">
        <v>99</v>
      </c>
      <c r="C264" s="68"/>
      <c r="D264" s="68"/>
    </row>
    <row r="265" spans="1:4" ht="12.75">
      <c r="A265" s="63" t="s">
        <v>99</v>
      </c>
      <c r="C265" s="68"/>
      <c r="D265" s="68"/>
    </row>
    <row r="266" spans="1:4" ht="12.75">
      <c r="A266" s="63" t="s">
        <v>99</v>
      </c>
      <c r="C266" s="68"/>
      <c r="D266" s="68"/>
    </row>
    <row r="267" spans="1:4" ht="12.75">
      <c r="A267" s="63" t="s">
        <v>99</v>
      </c>
      <c r="C267" s="68"/>
      <c r="D267" s="68"/>
    </row>
    <row r="268" ht="12.75">
      <c r="A268" s="5"/>
    </row>
    <row r="269" spans="1:4" ht="12.75">
      <c r="A269" s="4" t="s">
        <v>39</v>
      </c>
      <c r="C269" s="166"/>
      <c r="D269" s="166"/>
    </row>
    <row r="270" spans="1:4" ht="12.75">
      <c r="A270" s="4" t="s">
        <v>42</v>
      </c>
      <c r="C270" s="166"/>
      <c r="D270" s="166"/>
    </row>
    <row r="271" spans="1:4" ht="12.75">
      <c r="A271" s="4" t="s">
        <v>172</v>
      </c>
      <c r="C271" s="167"/>
      <c r="D271" s="167"/>
    </row>
    <row r="272" spans="1:2" ht="12.75">
      <c r="A272" s="22"/>
      <c r="B272" s="17"/>
    </row>
    <row r="273" ht="12.75">
      <c r="A273" s="22" t="s">
        <v>58</v>
      </c>
    </row>
    <row r="274" spans="1:4" ht="12.75">
      <c r="A274" s="63" t="s">
        <v>99</v>
      </c>
      <c r="C274" s="68"/>
      <c r="D274" s="68"/>
    </row>
    <row r="275" spans="1:4" ht="12.75">
      <c r="A275" s="63" t="s">
        <v>99</v>
      </c>
      <c r="C275" s="68"/>
      <c r="D275" s="68"/>
    </row>
    <row r="276" spans="1:4" ht="12.75">
      <c r="A276" s="63" t="s">
        <v>99</v>
      </c>
      <c r="C276" s="68"/>
      <c r="D276" s="68"/>
    </row>
    <row r="277" spans="1:4" ht="12.75">
      <c r="A277" s="63" t="s">
        <v>99</v>
      </c>
      <c r="C277" s="68"/>
      <c r="D277" s="68"/>
    </row>
    <row r="278" spans="1:4" ht="12.75">
      <c r="A278" s="63" t="s">
        <v>99</v>
      </c>
      <c r="C278" s="68"/>
      <c r="D278" s="168"/>
    </row>
    <row r="279" ht="12.75">
      <c r="A279" s="5"/>
    </row>
    <row r="280" spans="1:4" ht="12.75">
      <c r="A280" s="4" t="s">
        <v>39</v>
      </c>
      <c r="C280" s="68"/>
      <c r="D280" s="68"/>
    </row>
    <row r="281" spans="1:4" ht="12.75">
      <c r="A281" s="4" t="s">
        <v>42</v>
      </c>
      <c r="C281" s="68"/>
      <c r="D281" s="68"/>
    </row>
    <row r="282" spans="1:4" ht="12.75">
      <c r="A282" s="4" t="s">
        <v>172</v>
      </c>
      <c r="C282" s="74"/>
      <c r="D282" s="74"/>
    </row>
    <row r="283" spans="1:6" ht="12.75">
      <c r="A283" s="22"/>
      <c r="B283" s="17"/>
      <c r="F283" s="4"/>
    </row>
    <row r="284" spans="1:6" ht="13.5">
      <c r="A284" s="22"/>
      <c r="B284" s="17"/>
      <c r="D284" s="4"/>
      <c r="F284" s="8"/>
    </row>
    <row r="285" spans="1:6" ht="13.5">
      <c r="A285" s="22"/>
      <c r="B285" s="17"/>
      <c r="D285" s="4"/>
      <c r="F285" s="8">
        <v>10</v>
      </c>
    </row>
    <row r="286" spans="1:4" ht="15">
      <c r="A286" s="104" t="s">
        <v>19</v>
      </c>
      <c r="B286" s="104"/>
      <c r="C286" s="41"/>
      <c r="D286" s="41"/>
    </row>
    <row r="287" ht="12.75">
      <c r="A287" s="52"/>
    </row>
    <row r="288" spans="1:4" ht="12.75">
      <c r="A288" s="22" t="s">
        <v>56</v>
      </c>
      <c r="C288" s="35" t="s">
        <v>101</v>
      </c>
      <c r="D288" s="35" t="s">
        <v>102</v>
      </c>
    </row>
    <row r="289" spans="1:4" ht="12.75">
      <c r="A289" s="63" t="s">
        <v>99</v>
      </c>
      <c r="C289" s="68"/>
      <c r="D289" s="68"/>
    </row>
    <row r="290" spans="1:6" ht="12.75">
      <c r="A290" s="63" t="s">
        <v>99</v>
      </c>
      <c r="C290" s="68"/>
      <c r="D290" s="68"/>
      <c r="E290"/>
      <c r="F290"/>
    </row>
    <row r="291" spans="1:6" ht="12.75">
      <c r="A291" s="63" t="s">
        <v>99</v>
      </c>
      <c r="C291" s="68"/>
      <c r="D291" s="68"/>
      <c r="E291"/>
      <c r="F291"/>
    </row>
    <row r="292" spans="1:6" ht="12.75">
      <c r="A292" s="63" t="s">
        <v>99</v>
      </c>
      <c r="C292" s="68"/>
      <c r="D292" s="68"/>
      <c r="E292"/>
      <c r="F292"/>
    </row>
    <row r="293" spans="1:6" ht="12.75">
      <c r="A293" s="63" t="s">
        <v>99</v>
      </c>
      <c r="C293" s="68"/>
      <c r="D293" s="68"/>
      <c r="E293"/>
      <c r="F293"/>
    </row>
    <row r="294" spans="1:6" ht="12.75">
      <c r="A294" s="5"/>
      <c r="C294" s="41"/>
      <c r="D294" s="41"/>
      <c r="E294"/>
      <c r="F294"/>
    </row>
    <row r="295" spans="1:4" ht="12.75">
      <c r="A295" s="4" t="s">
        <v>39</v>
      </c>
      <c r="C295" s="68"/>
      <c r="D295" s="68"/>
    </row>
    <row r="296" spans="1:4" ht="12.75">
      <c r="A296" s="4" t="s">
        <v>42</v>
      </c>
      <c r="C296" s="68"/>
      <c r="D296" s="68"/>
    </row>
    <row r="297" spans="1:4" ht="12.75">
      <c r="A297" s="4" t="s">
        <v>172</v>
      </c>
      <c r="C297" s="74"/>
      <c r="D297" s="74"/>
    </row>
    <row r="298" spans="1:4" ht="12.75">
      <c r="A298" s="4"/>
      <c r="D298" s="54"/>
    </row>
    <row r="299" spans="1:4" ht="12.75">
      <c r="A299" s="22" t="s">
        <v>100</v>
      </c>
      <c r="C299" s="70">
        <f>SUM(C263:C267)+SUM(C274:C278)+SUM(C289:C293)</f>
        <v>0</v>
      </c>
      <c r="D299" s="70">
        <f>SUM(D263:D267)+SUM(D274:D278)+SUM(D289:D293)</f>
        <v>0</v>
      </c>
    </row>
    <row r="300" ht="12.75">
      <c r="A300" s="22"/>
    </row>
    <row r="301" spans="1:4" ht="12.75">
      <c r="A301" s="22" t="s">
        <v>108</v>
      </c>
      <c r="C301" s="70">
        <f>SUM(C269:C270)+SUM(C280:C281)+SUM(C295:C296)</f>
        <v>0</v>
      </c>
      <c r="D301" s="70">
        <f>SUM(D269:D270)+SUM(D280:D281)+SUM(D295:D296)</f>
        <v>0</v>
      </c>
    </row>
    <row r="302" spans="1:4" ht="12.75">
      <c r="A302" s="22" t="s">
        <v>172</v>
      </c>
      <c r="C302" s="69">
        <f>C271+C282+C297</f>
        <v>0</v>
      </c>
      <c r="D302" s="69">
        <f>D271+D282+D297</f>
        <v>0</v>
      </c>
    </row>
    <row r="303" spans="1:6" ht="12.75">
      <c r="A303" s="22"/>
      <c r="C303"/>
      <c r="D303"/>
      <c r="E303"/>
      <c r="F303"/>
    </row>
    <row r="304" spans="1:6" ht="12.75">
      <c r="A304" s="53" t="s">
        <v>116</v>
      </c>
      <c r="C304" s="155">
        <f>_xlfn.IFERROR(ROUND((C302/C299),2),0)</f>
        <v>0</v>
      </c>
      <c r="D304" s="155">
        <f>_xlfn.IFERROR(ROUND((D302/D299),2),0)</f>
        <v>0</v>
      </c>
      <c r="E304"/>
      <c r="F304"/>
    </row>
    <row r="305" ht="12.75">
      <c r="A305" s="4"/>
    </row>
    <row r="306" spans="1:4" ht="12.75">
      <c r="A306" s="22" t="s">
        <v>213</v>
      </c>
      <c r="B306" s="25"/>
      <c r="C306" s="70">
        <f>C299-C301-C302</f>
        <v>0</v>
      </c>
      <c r="D306" s="70">
        <f>D299-D301-D302</f>
        <v>0</v>
      </c>
    </row>
    <row r="307" spans="1:4" ht="12.75">
      <c r="A307" s="22"/>
      <c r="B307" s="25"/>
      <c r="D307" s="54"/>
    </row>
    <row r="308" spans="1:3" ht="15">
      <c r="A308" s="104" t="s">
        <v>149</v>
      </c>
      <c r="B308" s="104"/>
      <c r="C308" s="17"/>
    </row>
    <row r="309" spans="1:3" ht="12.75">
      <c r="A309" s="51" t="s">
        <v>258</v>
      </c>
      <c r="C309" s="17"/>
    </row>
    <row r="310" spans="1:6" ht="12.75">
      <c r="A310" s="51" t="s">
        <v>259</v>
      </c>
      <c r="C310" s="17"/>
      <c r="F310"/>
    </row>
    <row r="311" spans="1:6" ht="12.75">
      <c r="A311" s="51"/>
      <c r="C311" s="17"/>
      <c r="F311"/>
    </row>
    <row r="312" spans="1:6" ht="12.75">
      <c r="A312" s="22" t="s">
        <v>163</v>
      </c>
      <c r="B312" s="22"/>
      <c r="C312" s="68"/>
      <c r="F312"/>
    </row>
    <row r="313" spans="1:6" ht="12.75">
      <c r="A313" s="22"/>
      <c r="B313" s="25"/>
      <c r="D313" s="54"/>
      <c r="F313"/>
    </row>
    <row r="314" spans="1:6" ht="15">
      <c r="A314" s="104" t="s">
        <v>148</v>
      </c>
      <c r="B314" s="104"/>
      <c r="C314" s="41"/>
      <c r="D314" s="41"/>
      <c r="F314"/>
    </row>
    <row r="315" spans="1:6" ht="12.75">
      <c r="A315" s="51" t="s">
        <v>146</v>
      </c>
      <c r="F315"/>
    </row>
    <row r="316" spans="1:6" ht="12.75">
      <c r="A316" s="52"/>
      <c r="F316"/>
    </row>
    <row r="317" spans="1:6" ht="12.75">
      <c r="A317" s="22" t="s">
        <v>145</v>
      </c>
      <c r="C317" s="35" t="s">
        <v>101</v>
      </c>
      <c r="D317" s="35" t="s">
        <v>102</v>
      </c>
      <c r="F317"/>
    </row>
    <row r="318" spans="1:6" ht="12.75">
      <c r="A318" s="63" t="s">
        <v>99</v>
      </c>
      <c r="C318" s="76"/>
      <c r="D318" s="76"/>
      <c r="F318"/>
    </row>
    <row r="319" spans="1:6" ht="12.75">
      <c r="A319" s="63" t="s">
        <v>99</v>
      </c>
      <c r="C319" s="76"/>
      <c r="D319" s="76"/>
      <c r="F319"/>
    </row>
    <row r="320" spans="1:6" ht="12.75">
      <c r="A320" s="63" t="s">
        <v>99</v>
      </c>
      <c r="C320" s="76"/>
      <c r="D320" s="76"/>
      <c r="F320"/>
    </row>
    <row r="321" spans="1:6" ht="12.75">
      <c r="A321" s="63" t="s">
        <v>99</v>
      </c>
      <c r="C321" s="76"/>
      <c r="D321" s="76"/>
      <c r="F321"/>
    </row>
    <row r="322" spans="1:6" ht="12.75">
      <c r="A322" s="63" t="s">
        <v>99</v>
      </c>
      <c r="C322" s="76"/>
      <c r="D322" s="76"/>
      <c r="F322"/>
    </row>
    <row r="323" spans="1:6" ht="12.75">
      <c r="A323" s="4" t="s">
        <v>160</v>
      </c>
      <c r="C323" s="76"/>
      <c r="D323" s="76"/>
      <c r="F323"/>
    </row>
    <row r="324" spans="1:6" ht="12.75">
      <c r="A324" s="4"/>
      <c r="C324"/>
      <c r="D324"/>
      <c r="F324"/>
    </row>
    <row r="325" spans="1:6" ht="12.75">
      <c r="A325" s="4" t="s">
        <v>164</v>
      </c>
      <c r="C325" s="155">
        <f>_xlfn.IFERROR(ROUND((C323/SUM(C318:C322)),2),0)</f>
        <v>0</v>
      </c>
      <c r="D325" s="155">
        <f>_xlfn.IFERROR(ROUND((D323/SUM(D318:D322)),2),0)</f>
        <v>0</v>
      </c>
      <c r="F325"/>
    </row>
    <row r="326" spans="1:6" ht="12.75">
      <c r="A326"/>
      <c r="B326" s="17"/>
      <c r="C326" s="13"/>
      <c r="D326" s="13"/>
      <c r="F326"/>
    </row>
    <row r="327" spans="1:6" ht="12.75">
      <c r="A327" s="22" t="s">
        <v>214</v>
      </c>
      <c r="B327" s="25"/>
      <c r="C327" s="73">
        <f>C318+C319+C320+C321+C322-C323</f>
        <v>0</v>
      </c>
      <c r="D327" s="73">
        <f>D318+D319+D320+D321+D322-D323</f>
        <v>0</v>
      </c>
      <c r="F327"/>
    </row>
    <row r="328" ht="12.75">
      <c r="A328"/>
    </row>
    <row r="329" spans="1:2" ht="15">
      <c r="A329" s="104" t="s">
        <v>123</v>
      </c>
      <c r="B329" s="104"/>
    </row>
    <row r="330" ht="12.75">
      <c r="A330" s="4"/>
    </row>
    <row r="331" spans="1:4" ht="12.75">
      <c r="A331" s="22" t="s">
        <v>124</v>
      </c>
      <c r="C331" s="35" t="s">
        <v>101</v>
      </c>
      <c r="D331" s="35" t="s">
        <v>102</v>
      </c>
    </row>
    <row r="332" spans="1:4" ht="12.75">
      <c r="A332" s="63" t="s">
        <v>99</v>
      </c>
      <c r="C332" s="68"/>
      <c r="D332" s="68"/>
    </row>
    <row r="333" spans="1:6" ht="12.75">
      <c r="A333" s="63" t="s">
        <v>99</v>
      </c>
      <c r="C333" s="68"/>
      <c r="D333" s="68"/>
      <c r="E333" s="17"/>
      <c r="F333"/>
    </row>
    <row r="334" spans="1:6" ht="12.75">
      <c r="A334" s="63" t="s">
        <v>99</v>
      </c>
      <c r="C334" s="68"/>
      <c r="D334" s="68"/>
      <c r="F334" s="4"/>
    </row>
    <row r="335" spans="1:6" ht="12.75">
      <c r="A335" s="63" t="s">
        <v>99</v>
      </c>
      <c r="C335" s="68"/>
      <c r="D335" s="68"/>
      <c r="F335" s="4"/>
    </row>
    <row r="336" spans="1:4" ht="12.75">
      <c r="A336" s="63" t="s">
        <v>99</v>
      </c>
      <c r="C336" s="68"/>
      <c r="D336" s="68"/>
    </row>
    <row r="337" ht="12.75">
      <c r="F337" s="22"/>
    </row>
    <row r="338" spans="1:4" ht="12.75">
      <c r="A338" s="4" t="s">
        <v>39</v>
      </c>
      <c r="C338" s="68"/>
      <c r="D338" s="68"/>
    </row>
    <row r="339" spans="1:4" ht="12.75">
      <c r="A339" s="4" t="s">
        <v>42</v>
      </c>
      <c r="C339" s="68"/>
      <c r="D339" s="68"/>
    </row>
    <row r="340" spans="1:4" ht="12.75">
      <c r="A340" s="4" t="s">
        <v>172</v>
      </c>
      <c r="C340" s="68"/>
      <c r="D340" s="68"/>
    </row>
    <row r="341" spans="1:6" ht="12.75">
      <c r="A341" s="4"/>
      <c r="B341"/>
      <c r="C341"/>
      <c r="D341"/>
      <c r="E341"/>
      <c r="F341"/>
    </row>
    <row r="342" spans="1:6" ht="12.75">
      <c r="A342" s="53" t="s">
        <v>116</v>
      </c>
      <c r="C342" s="155">
        <f>_xlfn.IFERROR(ROUND((C340/SUM(C332:C336)),2),0)</f>
        <v>0</v>
      </c>
      <c r="D342" s="155">
        <f>_xlfn.IFERROR(ROUND((D340/SUM(D332:D336)),2),0)</f>
        <v>0</v>
      </c>
      <c r="E342"/>
      <c r="F342"/>
    </row>
    <row r="343" ht="12.75">
      <c r="A343" s="4"/>
    </row>
    <row r="344" spans="1:4" ht="12.75">
      <c r="A344" s="22" t="s">
        <v>64</v>
      </c>
      <c r="C344" s="70">
        <f>SUM(C332:C336)-C340-C338-C339</f>
        <v>0</v>
      </c>
      <c r="D344" s="70">
        <f>SUM(D332:D336)-D340-D338-D339</f>
        <v>0</v>
      </c>
    </row>
    <row r="345" ht="12.75">
      <c r="A345" s="4"/>
    </row>
    <row r="346" spans="1:6" ht="12.75">
      <c r="A346" s="4"/>
      <c r="F346" s="3">
        <v>11</v>
      </c>
    </row>
    <row r="347" spans="1:6" ht="17.25">
      <c r="A347" s="112" t="s">
        <v>54</v>
      </c>
      <c r="B347" s="113"/>
      <c r="C347" s="113"/>
      <c r="D347" s="112"/>
      <c r="E347" s="112"/>
      <c r="F347" s="113"/>
    </row>
    <row r="348" ht="12.75">
      <c r="A348" s="51" t="s">
        <v>260</v>
      </c>
    </row>
    <row r="349" ht="12.75">
      <c r="A349" s="51" t="s">
        <v>261</v>
      </c>
    </row>
    <row r="350" ht="12.75">
      <c r="A350" s="51" t="s">
        <v>262</v>
      </c>
    </row>
    <row r="351" ht="12.75">
      <c r="A351" s="52"/>
    </row>
    <row r="352" spans="1:3" ht="12.75">
      <c r="A352" s="22" t="s">
        <v>21</v>
      </c>
      <c r="C352" s="68"/>
    </row>
    <row r="353" spans="1:3" ht="12.75">
      <c r="A353" s="22" t="s">
        <v>2</v>
      </c>
      <c r="C353" s="68"/>
    </row>
    <row r="354" spans="1:3" ht="12.75">
      <c r="A354" s="22" t="s">
        <v>3</v>
      </c>
      <c r="C354" s="68"/>
    </row>
    <row r="355" spans="1:3" ht="12.75">
      <c r="A355" s="22" t="s">
        <v>4</v>
      </c>
      <c r="C355" s="68"/>
    </row>
    <row r="356" spans="1:3" ht="12.75">
      <c r="A356" s="22" t="s">
        <v>5</v>
      </c>
      <c r="C356" s="68"/>
    </row>
    <row r="357" spans="1:2" ht="12.75">
      <c r="A357" s="22"/>
      <c r="B357" s="15"/>
    </row>
    <row r="358" spans="1:4" ht="12.75">
      <c r="A358" s="22" t="s">
        <v>215</v>
      </c>
      <c r="B358" s="25"/>
      <c r="C358" s="70">
        <f>C352+C353+C354+C355+C356</f>
        <v>0</v>
      </c>
      <c r="D358" s="54"/>
    </row>
    <row r="359" spans="1:6" ht="13.5">
      <c r="A359" s="22"/>
      <c r="B359" s="25"/>
      <c r="F359" s="8"/>
    </row>
    <row r="360" spans="1:6" ht="13.5">
      <c r="A360" s="22"/>
      <c r="B360" s="25"/>
      <c r="F360" s="8"/>
    </row>
    <row r="361" spans="1:2" ht="12.75">
      <c r="A361" s="22"/>
      <c r="B361" s="25"/>
    </row>
    <row r="362" spans="1:6" ht="17.25">
      <c r="A362" s="114" t="s">
        <v>17</v>
      </c>
      <c r="B362" s="115"/>
      <c r="C362" s="115"/>
      <c r="D362" s="114"/>
      <c r="E362" s="114"/>
      <c r="F362" s="114"/>
    </row>
    <row r="363" ht="12.75">
      <c r="A363" s="22"/>
    </row>
    <row r="364" spans="1:6" ht="15">
      <c r="A364" s="116" t="s">
        <v>51</v>
      </c>
      <c r="B364" s="115"/>
      <c r="C364" s="41"/>
      <c r="D364" s="41"/>
      <c r="E364" s="41"/>
      <c r="F364" s="41"/>
    </row>
    <row r="365" ht="12.75">
      <c r="A365" s="51" t="s">
        <v>269</v>
      </c>
    </row>
    <row r="366" ht="12.75">
      <c r="A366" s="51" t="s">
        <v>270</v>
      </c>
    </row>
    <row r="367" ht="12.75">
      <c r="A367" s="52"/>
    </row>
    <row r="368" spans="1:2" ht="12.75">
      <c r="A368" s="22" t="s">
        <v>6</v>
      </c>
      <c r="B368" s="68"/>
    </row>
    <row r="369" spans="1:2" ht="12.75">
      <c r="A369" s="22" t="s">
        <v>7</v>
      </c>
      <c r="B369" s="68"/>
    </row>
    <row r="370" spans="1:2" ht="12.75">
      <c r="A370" s="22" t="s">
        <v>8</v>
      </c>
      <c r="B370" s="74"/>
    </row>
    <row r="371" spans="1:2" ht="12.75">
      <c r="A371" s="22" t="s">
        <v>9</v>
      </c>
      <c r="B371" s="68"/>
    </row>
    <row r="372" spans="1:2" ht="12.75">
      <c r="A372" s="22" t="s">
        <v>10</v>
      </c>
      <c r="B372" s="68"/>
    </row>
    <row r="373" spans="1:2" ht="12.75">
      <c r="A373" s="22"/>
      <c r="B373" s="17"/>
    </row>
    <row r="374" spans="1:4" ht="12.75">
      <c r="A374" s="22" t="s">
        <v>65</v>
      </c>
      <c r="B374" s="25"/>
      <c r="C374" s="70">
        <f>B368+B369+B370+B371+B372</f>
        <v>0</v>
      </c>
      <c r="D374" s="54"/>
    </row>
    <row r="375" spans="1:3" ht="12.75">
      <c r="A375" s="22"/>
      <c r="B375" s="25"/>
      <c r="C375" s="17"/>
    </row>
    <row r="376" spans="1:3" ht="12.75">
      <c r="A376" s="22"/>
      <c r="B376" s="25"/>
      <c r="C376" s="17"/>
    </row>
    <row r="377" spans="1:4" ht="15">
      <c r="A377" s="116" t="s">
        <v>52</v>
      </c>
      <c r="B377" s="115"/>
      <c r="C377" s="41"/>
      <c r="D377" s="41"/>
    </row>
    <row r="378" ht="12.75">
      <c r="A378" s="52"/>
    </row>
    <row r="379" spans="1:2" ht="12.75">
      <c r="A379" s="22" t="s">
        <v>12</v>
      </c>
      <c r="B379" s="68"/>
    </row>
    <row r="380" spans="1:2" ht="12.75">
      <c r="A380" s="22" t="s">
        <v>13</v>
      </c>
      <c r="B380" s="68"/>
    </row>
    <row r="381" spans="1:2" ht="12.75">
      <c r="A381" s="22" t="s">
        <v>1</v>
      </c>
      <c r="B381" s="74"/>
    </row>
    <row r="382" spans="1:2" ht="12.75">
      <c r="A382" s="22"/>
      <c r="B382" s="17"/>
    </row>
    <row r="383" spans="1:4" ht="12.75">
      <c r="A383" s="22" t="s">
        <v>65</v>
      </c>
      <c r="B383" s="25"/>
      <c r="C383" s="70">
        <f>B379+B380+B381</f>
        <v>0</v>
      </c>
      <c r="D383" s="54"/>
    </row>
    <row r="384" spans="1:3" ht="12.75">
      <c r="A384" s="22"/>
      <c r="B384" s="25"/>
      <c r="C384" s="17"/>
    </row>
    <row r="385" spans="1:3" ht="12.75">
      <c r="A385" s="22"/>
      <c r="B385" s="25"/>
      <c r="C385" s="17"/>
    </row>
    <row r="386" spans="1:2" ht="12.75">
      <c r="A386" s="22"/>
      <c r="B386" s="17"/>
    </row>
    <row r="387" spans="1:6" ht="15">
      <c r="A387" s="102" t="s">
        <v>55</v>
      </c>
      <c r="B387" s="99"/>
      <c r="C387" s="99"/>
      <c r="D387" s="99"/>
      <c r="E387" s="99"/>
      <c r="F387" s="99"/>
    </row>
    <row r="388" ht="12.75">
      <c r="A388" s="51" t="s">
        <v>263</v>
      </c>
    </row>
    <row r="389" ht="12.75">
      <c r="A389" s="51" t="s">
        <v>264</v>
      </c>
    </row>
    <row r="390" ht="12.75">
      <c r="A390" s="52"/>
    </row>
    <row r="391" spans="1:4" ht="12.75">
      <c r="A391" s="22" t="s">
        <v>66</v>
      </c>
      <c r="B391" s="68"/>
      <c r="D391" s="54"/>
    </row>
    <row r="392" spans="1:4" ht="12.75">
      <c r="A392" s="22" t="s">
        <v>75</v>
      </c>
      <c r="B392" s="68"/>
      <c r="D392" s="54"/>
    </row>
    <row r="393" spans="1:2" ht="12.75">
      <c r="A393" s="22" t="s">
        <v>22</v>
      </c>
      <c r="B393" s="68"/>
    </row>
    <row r="394" spans="1:2" ht="12.75">
      <c r="A394" s="22" t="s">
        <v>43</v>
      </c>
      <c r="B394" s="68"/>
    </row>
    <row r="395" spans="1:2" ht="12.75">
      <c r="A395" s="22" t="s">
        <v>11</v>
      </c>
      <c r="B395" s="68"/>
    </row>
    <row r="396" ht="12.75">
      <c r="A396" s="22"/>
    </row>
    <row r="397" spans="1:4" ht="12.75">
      <c r="A397" s="22" t="s">
        <v>65</v>
      </c>
      <c r="B397" s="25"/>
      <c r="C397" s="70">
        <f>B391+B392+B393+B394+B395</f>
        <v>0</v>
      </c>
      <c r="D397" s="54"/>
    </row>
  </sheetData>
  <sheetProtection/>
  <mergeCells count="1">
    <mergeCell ref="A2:F2"/>
  </mergeCells>
  <conditionalFormatting sqref="F28">
    <cfRule type="cellIs" priority="160" dxfId="0" operator="lessThan" stopIfTrue="1">
      <formula>0</formula>
    </cfRule>
    <cfRule type="cellIs" priority="162" dxfId="1" operator="between" stopIfTrue="1">
      <formula>0</formula>
      <formula>0.3</formula>
    </cfRule>
    <cfRule type="cellIs" priority="170" dxfId="0" operator="greaterThan" stopIfTrue="1">
      <formula>0.3</formula>
    </cfRule>
  </conditionalFormatting>
  <conditionalFormatting sqref="B36">
    <cfRule type="cellIs" priority="82" dxfId="0" operator="greaterThan" stopIfTrue="1">
      <formula>$B$28</formula>
    </cfRule>
  </conditionalFormatting>
  <conditionalFormatting sqref="F29">
    <cfRule type="cellIs" priority="79" dxfId="0" operator="lessThan" stopIfTrue="1">
      <formula>0</formula>
    </cfRule>
    <cfRule type="cellIs" priority="80" dxfId="1" operator="between" stopIfTrue="1">
      <formula>0</formula>
      <formula>0.3</formula>
    </cfRule>
    <cfRule type="cellIs" priority="81" dxfId="0" operator="greaterThan" stopIfTrue="1">
      <formula>0.3</formula>
    </cfRule>
  </conditionalFormatting>
  <conditionalFormatting sqref="F58">
    <cfRule type="cellIs" priority="76" dxfId="0" operator="lessThan" stopIfTrue="1">
      <formula>0</formula>
    </cfRule>
    <cfRule type="cellIs" priority="77" dxfId="1" operator="between" stopIfTrue="1">
      <formula>0</formula>
      <formula>0.3</formula>
    </cfRule>
    <cfRule type="cellIs" priority="78" dxfId="0" operator="greaterThan" stopIfTrue="1">
      <formula>0.3</formula>
    </cfRule>
  </conditionalFormatting>
  <conditionalFormatting sqref="F59">
    <cfRule type="cellIs" priority="73" dxfId="0" operator="lessThan" stopIfTrue="1">
      <formula>0</formula>
    </cfRule>
    <cfRule type="cellIs" priority="74" dxfId="1" operator="between" stopIfTrue="1">
      <formula>0</formula>
      <formula>0.3</formula>
    </cfRule>
    <cfRule type="cellIs" priority="75" dxfId="0" operator="greaterThan" stopIfTrue="1">
      <formula>0.3</formula>
    </cfRule>
  </conditionalFormatting>
  <conditionalFormatting sqref="F74">
    <cfRule type="cellIs" priority="70" dxfId="0" operator="lessThan" stopIfTrue="1">
      <formula>0</formula>
    </cfRule>
    <cfRule type="cellIs" priority="71" dxfId="1" operator="between" stopIfTrue="1">
      <formula>0</formula>
      <formula>0.3</formula>
    </cfRule>
    <cfRule type="cellIs" priority="72" dxfId="0" operator="greaterThan" stopIfTrue="1">
      <formula>0.3</formula>
    </cfRule>
  </conditionalFormatting>
  <conditionalFormatting sqref="F75">
    <cfRule type="cellIs" priority="67" dxfId="0" operator="lessThan" stopIfTrue="1">
      <formula>0</formula>
    </cfRule>
    <cfRule type="cellIs" priority="68" dxfId="1" operator="between" stopIfTrue="1">
      <formula>0</formula>
      <formula>0.3</formula>
    </cfRule>
    <cfRule type="cellIs" priority="69" dxfId="0" operator="greaterThan" stopIfTrue="1">
      <formula>0.3</formula>
    </cfRule>
  </conditionalFormatting>
  <conditionalFormatting sqref="F88">
    <cfRule type="cellIs" priority="64" dxfId="0" operator="lessThan" stopIfTrue="1">
      <formula>0</formula>
    </cfRule>
    <cfRule type="cellIs" priority="65" dxfId="1" operator="between" stopIfTrue="1">
      <formula>0</formula>
      <formula>0.3</formula>
    </cfRule>
    <cfRule type="cellIs" priority="66" dxfId="0" operator="greaterThan" stopIfTrue="1">
      <formula>0.3</formula>
    </cfRule>
  </conditionalFormatting>
  <conditionalFormatting sqref="F89">
    <cfRule type="cellIs" priority="61" dxfId="0" operator="lessThan" stopIfTrue="1">
      <formula>0</formula>
    </cfRule>
    <cfRule type="cellIs" priority="62" dxfId="1" operator="between" stopIfTrue="1">
      <formula>0</formula>
      <formula>0.3</formula>
    </cfRule>
    <cfRule type="cellIs" priority="63" dxfId="0" operator="greaterThan" stopIfTrue="1">
      <formula>0.3</formula>
    </cfRule>
  </conditionalFormatting>
  <conditionalFormatting sqref="F132">
    <cfRule type="cellIs" priority="58" dxfId="0" operator="lessThan" stopIfTrue="1">
      <formula>0</formula>
    </cfRule>
    <cfRule type="cellIs" priority="59" dxfId="1" operator="between" stopIfTrue="1">
      <formula>0</formula>
      <formula>0.3</formula>
    </cfRule>
    <cfRule type="cellIs" priority="60" dxfId="0" operator="greaterThan" stopIfTrue="1">
      <formula>0.3</formula>
    </cfRule>
  </conditionalFormatting>
  <conditionalFormatting sqref="F133">
    <cfRule type="cellIs" priority="55" dxfId="0" operator="lessThan" stopIfTrue="1">
      <formula>0</formula>
    </cfRule>
    <cfRule type="cellIs" priority="56" dxfId="1" operator="between" stopIfTrue="1">
      <formula>0</formula>
      <formula>0.3</formula>
    </cfRule>
    <cfRule type="cellIs" priority="57" dxfId="0" operator="greaterThan" stopIfTrue="1">
      <formula>0.3</formula>
    </cfRule>
  </conditionalFormatting>
  <conditionalFormatting sqref="F154">
    <cfRule type="cellIs" priority="52" dxfId="0" operator="lessThan" stopIfTrue="1">
      <formula>0</formula>
    </cfRule>
    <cfRule type="cellIs" priority="53" dxfId="1" operator="between" stopIfTrue="1">
      <formula>0</formula>
      <formula>0.3</formula>
    </cfRule>
    <cfRule type="cellIs" priority="54" dxfId="0" operator="greaterThan" stopIfTrue="1">
      <formula>0.3</formula>
    </cfRule>
  </conditionalFormatting>
  <conditionalFormatting sqref="F155">
    <cfRule type="cellIs" priority="49" dxfId="0" operator="lessThan" stopIfTrue="1">
      <formula>0</formula>
    </cfRule>
    <cfRule type="cellIs" priority="50" dxfId="1" operator="between" stopIfTrue="1">
      <formula>0</formula>
      <formula>0.3</formula>
    </cfRule>
    <cfRule type="cellIs" priority="51" dxfId="0" operator="greaterThan" stopIfTrue="1">
      <formula>0.3</formula>
    </cfRule>
  </conditionalFormatting>
  <conditionalFormatting sqref="F168">
    <cfRule type="cellIs" priority="46" dxfId="0" operator="lessThan" stopIfTrue="1">
      <formula>0</formula>
    </cfRule>
    <cfRule type="cellIs" priority="47" dxfId="1" operator="between" stopIfTrue="1">
      <formula>0</formula>
      <formula>0.3</formula>
    </cfRule>
    <cfRule type="cellIs" priority="48" dxfId="0" operator="greaterThan" stopIfTrue="1">
      <formula>0.3</formula>
    </cfRule>
  </conditionalFormatting>
  <conditionalFormatting sqref="F169">
    <cfRule type="cellIs" priority="43" dxfId="0" operator="lessThan" stopIfTrue="1">
      <formula>0</formula>
    </cfRule>
    <cfRule type="cellIs" priority="44" dxfId="1" operator="between" stopIfTrue="1">
      <formula>0</formula>
      <formula>0.3</formula>
    </cfRule>
    <cfRule type="cellIs" priority="45" dxfId="0" operator="greaterThan" stopIfTrue="1">
      <formula>0.3</formula>
    </cfRule>
  </conditionalFormatting>
  <conditionalFormatting sqref="F190">
    <cfRule type="cellIs" priority="40" dxfId="0" operator="lessThan" stopIfTrue="1">
      <formula>0</formula>
    </cfRule>
    <cfRule type="cellIs" priority="41" dxfId="1" operator="between" stopIfTrue="1">
      <formula>0</formula>
      <formula>0.3</formula>
    </cfRule>
    <cfRule type="cellIs" priority="42" dxfId="0" operator="greaterThan" stopIfTrue="1">
      <formula>0.3</formula>
    </cfRule>
  </conditionalFormatting>
  <conditionalFormatting sqref="F191">
    <cfRule type="cellIs" priority="37" dxfId="0" operator="lessThan" stopIfTrue="1">
      <formula>0</formula>
    </cfRule>
    <cfRule type="cellIs" priority="38" dxfId="1" operator="between" stopIfTrue="1">
      <formula>0</formula>
      <formula>0.3</formula>
    </cfRule>
    <cfRule type="cellIs" priority="39" dxfId="0" operator="greaterThan" stopIfTrue="1">
      <formula>0.3</formula>
    </cfRule>
  </conditionalFormatting>
  <conditionalFormatting sqref="C114">
    <cfRule type="cellIs" priority="34" dxfId="0" operator="lessThan" stopIfTrue="1">
      <formula>0</formula>
    </cfRule>
    <cfRule type="cellIs" priority="35" dxfId="1" operator="between" stopIfTrue="1">
      <formula>0</formula>
      <formula>0.3</formula>
    </cfRule>
    <cfRule type="cellIs" priority="36" dxfId="0" operator="greaterThan" stopIfTrue="1">
      <formula>0.3</formula>
    </cfRule>
  </conditionalFormatting>
  <conditionalFormatting sqref="D114">
    <cfRule type="cellIs" priority="31" dxfId="0" operator="lessThan" stopIfTrue="1">
      <formula>0</formula>
    </cfRule>
    <cfRule type="cellIs" priority="32" dxfId="1" operator="between" stopIfTrue="1">
      <formula>0</formula>
      <formula>0.3</formula>
    </cfRule>
    <cfRule type="cellIs" priority="33" dxfId="0" operator="greaterThan" stopIfTrue="1">
      <formula>0.3</formula>
    </cfRule>
  </conditionalFormatting>
  <conditionalFormatting sqref="C230">
    <cfRule type="cellIs" priority="28" dxfId="0" operator="lessThan" stopIfTrue="1">
      <formula>0</formula>
    </cfRule>
    <cfRule type="cellIs" priority="29" dxfId="1" operator="between" stopIfTrue="1">
      <formula>0</formula>
      <formula>0.3</formula>
    </cfRule>
    <cfRule type="cellIs" priority="30" dxfId="0" operator="greaterThan" stopIfTrue="1">
      <formula>0.3</formula>
    </cfRule>
  </conditionalFormatting>
  <conditionalFormatting sqref="D230">
    <cfRule type="cellIs" priority="25" dxfId="0" operator="lessThan" stopIfTrue="1">
      <formula>0</formula>
    </cfRule>
    <cfRule type="cellIs" priority="26" dxfId="1" operator="between" stopIfTrue="1">
      <formula>0</formula>
      <formula>0.3</formula>
    </cfRule>
    <cfRule type="cellIs" priority="27" dxfId="0" operator="greaterThan" stopIfTrue="1">
      <formula>0.3</formula>
    </cfRule>
  </conditionalFormatting>
  <conditionalFormatting sqref="C255">
    <cfRule type="cellIs" priority="22" dxfId="0" operator="lessThan" stopIfTrue="1">
      <formula>0</formula>
    </cfRule>
    <cfRule type="cellIs" priority="23" dxfId="1" operator="between" stopIfTrue="1">
      <formula>0</formula>
      <formula>0.3</formula>
    </cfRule>
    <cfRule type="cellIs" priority="24" dxfId="0" operator="greaterThan" stopIfTrue="1">
      <formula>0.3</formula>
    </cfRule>
  </conditionalFormatting>
  <conditionalFormatting sqref="D255">
    <cfRule type="cellIs" priority="19" dxfId="0" operator="lessThan" stopIfTrue="1">
      <formula>0</formula>
    </cfRule>
    <cfRule type="cellIs" priority="20" dxfId="1" operator="between" stopIfTrue="1">
      <formula>0</formula>
      <formula>0.3</formula>
    </cfRule>
    <cfRule type="cellIs" priority="21" dxfId="0" operator="greaterThan" stopIfTrue="1">
      <formula>0.3</formula>
    </cfRule>
  </conditionalFormatting>
  <conditionalFormatting sqref="C304">
    <cfRule type="cellIs" priority="16" dxfId="0" operator="lessThan" stopIfTrue="1">
      <formula>0</formula>
    </cfRule>
    <cfRule type="cellIs" priority="17" dxfId="1" operator="between" stopIfTrue="1">
      <formula>0</formula>
      <formula>0.3</formula>
    </cfRule>
    <cfRule type="cellIs" priority="18" dxfId="0" operator="greaterThan" stopIfTrue="1">
      <formula>0.3</formula>
    </cfRule>
  </conditionalFormatting>
  <conditionalFormatting sqref="D304">
    <cfRule type="cellIs" priority="13" dxfId="0" operator="lessThan" stopIfTrue="1">
      <formula>0</formula>
    </cfRule>
    <cfRule type="cellIs" priority="14" dxfId="1" operator="between" stopIfTrue="1">
      <formula>0</formula>
      <formula>0.3</formula>
    </cfRule>
    <cfRule type="cellIs" priority="15" dxfId="0" operator="greaterThan" stopIfTrue="1">
      <formula>0.3</formula>
    </cfRule>
  </conditionalFormatting>
  <conditionalFormatting sqref="C325">
    <cfRule type="cellIs" priority="10" dxfId="0" operator="lessThan" stopIfTrue="1">
      <formula>0</formula>
    </cfRule>
    <cfRule type="cellIs" priority="11" dxfId="1" operator="between" stopIfTrue="1">
      <formula>0</formula>
      <formula>0.3</formula>
    </cfRule>
    <cfRule type="cellIs" priority="12" dxfId="0" operator="greaterThan" stopIfTrue="1">
      <formula>0.3</formula>
    </cfRule>
  </conditionalFormatting>
  <conditionalFormatting sqref="D325">
    <cfRule type="cellIs" priority="7" dxfId="0" operator="lessThan" stopIfTrue="1">
      <formula>0</formula>
    </cfRule>
    <cfRule type="cellIs" priority="8" dxfId="1" operator="between" stopIfTrue="1">
      <formula>0</formula>
      <formula>0.3</formula>
    </cfRule>
    <cfRule type="cellIs" priority="9" dxfId="0" operator="greaterThan" stopIfTrue="1">
      <formula>0.3</formula>
    </cfRule>
  </conditionalFormatting>
  <conditionalFormatting sqref="C342">
    <cfRule type="cellIs" priority="4" dxfId="0" operator="lessThan" stopIfTrue="1">
      <formula>0</formula>
    </cfRule>
    <cfRule type="cellIs" priority="5" dxfId="1" operator="between" stopIfTrue="1">
      <formula>0</formula>
      <formula>0.3</formula>
    </cfRule>
    <cfRule type="cellIs" priority="6" dxfId="0" operator="greaterThan" stopIfTrue="1">
      <formula>0.3</formula>
    </cfRule>
  </conditionalFormatting>
  <conditionalFormatting sqref="D342">
    <cfRule type="cellIs" priority="1" dxfId="0" operator="lessThan" stopIfTrue="1">
      <formula>0</formula>
    </cfRule>
    <cfRule type="cellIs" priority="2" dxfId="1" operator="between" stopIfTrue="1">
      <formula>0</formula>
      <formula>0.3</formula>
    </cfRule>
    <cfRule type="cellIs" priority="3" dxfId="0" operator="greaterThan" stopIfTrue="1">
      <formula>0.3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6" manualBreakCount="6">
    <brk id="68" max="5" man="1"/>
    <brk id="119" max="5" man="1"/>
    <brk id="179" max="5" man="1"/>
    <brk id="234" max="5" man="1"/>
    <brk id="284" max="5" man="1"/>
    <brk id="3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Anne Caruso Hoby DFI</cp:lastModifiedBy>
  <cp:lastPrinted>2023-01-03T10:26:43Z</cp:lastPrinted>
  <dcterms:created xsi:type="dcterms:W3CDTF">2005-01-19T15:25:27Z</dcterms:created>
  <dcterms:modified xsi:type="dcterms:W3CDTF">2023-01-03T10:32:46Z</dcterms:modified>
  <cp:category/>
  <cp:version/>
  <cp:contentType/>
  <cp:contentStatus/>
</cp:coreProperties>
</file>